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7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'Foglio1'!$A$1:$K$55</definedName>
  </definedNames>
  <calcPr fullCalcOnLoad="1"/>
</workbook>
</file>

<file path=xl/sharedStrings.xml><?xml version="1.0" encoding="utf-8"?>
<sst xmlns="http://schemas.openxmlformats.org/spreadsheetml/2006/main" count="71" uniqueCount="55">
  <si>
    <t>Importo non versato</t>
  </si>
  <si>
    <t>Giorni di ritardo nel versamento</t>
  </si>
  <si>
    <t>Sanzioni dovute</t>
  </si>
  <si>
    <t>Totale versamento</t>
  </si>
  <si>
    <t>Imposta non versata</t>
  </si>
  <si>
    <t>Interessi moratori</t>
  </si>
  <si>
    <t>entro 30gg.</t>
  </si>
  <si>
    <t>dal</t>
  </si>
  <si>
    <t>al</t>
  </si>
  <si>
    <t>importo iniziale</t>
  </si>
  <si>
    <t>importo aggiornato</t>
  </si>
  <si>
    <t>Euro</t>
  </si>
  <si>
    <t>giorni/anno</t>
  </si>
  <si>
    <t>Interesse legale</t>
  </si>
  <si>
    <t>inizio</t>
  </si>
  <si>
    <t>fine</t>
  </si>
  <si>
    <t>giorni</t>
  </si>
  <si>
    <t>interessi</t>
  </si>
  <si>
    <t>totale</t>
  </si>
  <si>
    <t>INTERESSI LEGALI:</t>
  </si>
  <si>
    <t>Dal</t>
  </si>
  <si>
    <t>Al</t>
  </si>
  <si>
    <t>%</t>
  </si>
  <si>
    <t>SANZIONI DA RAVVEDIMENTO</t>
  </si>
  <si>
    <t>Codice Tributo dell'Imposta non versata</t>
  </si>
  <si>
    <t>a cura di Piergiorgio Ripa - dottore commercialista  -  www.studioripa.it</t>
  </si>
  <si>
    <t>Data del versamento (da ravvedimento)</t>
  </si>
  <si>
    <t>cod.tributo:</t>
  </si>
  <si>
    <t>Inserire nelle celle di colore giallo con caratteri di colore rosso, i dati di Input richiesti;</t>
  </si>
  <si>
    <t>I risultati del calcolo vengono proposti in forma di dati da indicare sul Mod. F24</t>
  </si>
  <si>
    <t>si/no</t>
  </si>
  <si>
    <r>
      <t>E' gestito 'in automatico' il cd. '</t>
    </r>
    <r>
      <rPr>
        <b/>
        <sz val="9"/>
        <rFont val="Arial"/>
        <family val="2"/>
      </rPr>
      <t>ravvedimento sprint</t>
    </r>
    <r>
      <rPr>
        <sz val="9"/>
        <rFont val="Arial"/>
        <family val="2"/>
      </rPr>
      <t>' (quello effettuato entro 14 giorni dalla violazione).</t>
    </r>
  </si>
  <si>
    <r>
      <t>Per inserire la data odierna è possibile indicare, come proposto in apertura:  =</t>
    </r>
    <r>
      <rPr>
        <b/>
        <sz val="9"/>
        <rFont val="Arial"/>
        <family val="2"/>
      </rPr>
      <t>OGGI()</t>
    </r>
  </si>
  <si>
    <t>Data scadenza (in cui doveva essere versata l'imposta)</t>
  </si>
  <si>
    <t>interessi IRPEF</t>
  </si>
  <si>
    <t>interessi IRES</t>
  </si>
  <si>
    <t>interessi IVA</t>
  </si>
  <si>
    <t>interessi imposte sostitutive</t>
  </si>
  <si>
    <t>interessi IRAP</t>
  </si>
  <si>
    <t>interessi  addiz.reg</t>
  </si>
  <si>
    <t>interessi addiz. Com.</t>
  </si>
  <si>
    <t>entro 90gg.</t>
  </si>
  <si>
    <r>
      <t>Indebita compensazione di credito inesistente</t>
    </r>
    <r>
      <rPr>
        <sz val="10"/>
        <rFont val="Arial"/>
        <family val="2"/>
      </rPr>
      <t xml:space="preserve"> (in caso positivo </t>
    </r>
    <r>
      <rPr>
        <b/>
        <sz val="10"/>
        <rFont val="Arial"/>
        <family val="2"/>
      </rPr>
      <t>digitare</t>
    </r>
    <r>
      <rPr>
        <sz val="10"/>
        <rFont val="Arial"/>
        <family val="2"/>
      </rPr>
      <t xml:space="preserve"> "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>")</t>
    </r>
  </si>
  <si>
    <t>oltre termini prec.</t>
  </si>
  <si>
    <t>dich. succ.</t>
  </si>
  <si>
    <t>entro dich.</t>
  </si>
  <si>
    <t>Il ravvedimento viene effettuato:</t>
  </si>
  <si>
    <t>X</t>
  </si>
  <si>
    <t>In caso di indebita compensazione di credito inesistente occorre indicarlo con una X nello spazio apposito.</t>
  </si>
  <si>
    <t>entro dich. successiva:</t>
  </si>
  <si>
    <t>- entro la dichiarazione:</t>
  </si>
  <si>
    <t>oltre:</t>
  </si>
  <si>
    <t>RAVVEDIMENTO OPEROSO - 2019</t>
  </si>
  <si>
    <t>Indicare con X se il ravvedimento è entro termine dichiarazione, o entro la dich.ne successiva (2.o anno), ovvero oltre.</t>
  </si>
  <si>
    <t>(piergiorgio.ripa@studioripa.it) - nuova versione aggiornata (disponibile dal 29/12/2018)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</si>
</sst>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0.000000"/>
    <numFmt numFmtId="178" formatCode="0.00000"/>
    <numFmt numFmtId="179" formatCode="0.0000"/>
    <numFmt numFmtId="180" formatCode="0.000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Wingdings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14" fontId="0" fillId="0" borderId="10" xfId="0" applyNumberFormat="1" applyBorder="1" applyAlignment="1" applyProtection="1">
      <alignment horizontal="center" vertical="center"/>
      <protection hidden="1"/>
    </xf>
    <xf numFmtId="10" fontId="0" fillId="0" borderId="10" xfId="0" applyNumberFormat="1" applyFont="1" applyBorder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vertical="center"/>
      <protection hidden="1"/>
    </xf>
    <xf numFmtId="10" fontId="0" fillId="0" borderId="10" xfId="0" applyNumberFormat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/>
      <protection hidden="1"/>
    </xf>
    <xf numFmtId="14" fontId="0" fillId="0" borderId="0" xfId="0" applyNumberFormat="1" applyBorder="1" applyAlignment="1" applyProtection="1">
      <alignment horizontal="center" vertical="center"/>
      <protection hidden="1"/>
    </xf>
    <xf numFmtId="10" fontId="0" fillId="0" borderId="0" xfId="0" applyNumberFormat="1" applyBorder="1" applyAlignment="1" applyProtection="1">
      <alignment horizontal="center" vertical="center"/>
      <protection hidden="1"/>
    </xf>
    <xf numFmtId="0" fontId="1" fillId="34" borderId="0" xfId="0" applyFont="1" applyFill="1" applyAlignment="1" applyProtection="1">
      <alignment horizontal="center"/>
      <protection hidden="1"/>
    </xf>
    <xf numFmtId="14" fontId="0" fillId="35" borderId="0" xfId="0" applyNumberFormat="1" applyFill="1" applyAlignment="1" applyProtection="1">
      <alignment/>
      <protection hidden="1"/>
    </xf>
    <xf numFmtId="4" fontId="0" fillId="35" borderId="0" xfId="0" applyNumberFormat="1" applyFill="1" applyAlignment="1" applyProtection="1">
      <alignment/>
      <protection hidden="1"/>
    </xf>
    <xf numFmtId="0" fontId="4" fillId="35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2" fontId="5" fillId="0" borderId="0" xfId="0" applyNumberFormat="1" applyFont="1" applyFill="1" applyAlignment="1" applyProtection="1">
      <alignment/>
      <protection hidden="1"/>
    </xf>
    <xf numFmtId="14" fontId="8" fillId="0" borderId="0" xfId="0" applyNumberFormat="1" applyFont="1" applyFill="1" applyAlignment="1" applyProtection="1">
      <alignment/>
      <protection hidden="1"/>
    </xf>
    <xf numFmtId="1" fontId="8" fillId="0" borderId="0" xfId="0" applyNumberFormat="1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2" fontId="8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right"/>
      <protection hidden="1"/>
    </xf>
    <xf numFmtId="1" fontId="9" fillId="0" borderId="0" xfId="0" applyNumberFormat="1" applyFont="1" applyFill="1" applyAlignment="1" applyProtection="1">
      <alignment/>
      <protection hidden="1"/>
    </xf>
    <xf numFmtId="2" fontId="9" fillId="0" borderId="0" xfId="0" applyNumberFormat="1" applyFont="1" applyFill="1" applyAlignment="1" applyProtection="1">
      <alignment/>
      <protection hidden="1"/>
    </xf>
    <xf numFmtId="4" fontId="17" fillId="35" borderId="11" xfId="0" applyNumberFormat="1" applyFon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vertical="center"/>
      <protection hidden="1"/>
    </xf>
    <xf numFmtId="0" fontId="16" fillId="0" borderId="12" xfId="0" applyFont="1" applyBorder="1" applyAlignment="1" applyProtection="1">
      <alignment vertic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8" fillId="0" borderId="12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1" fillId="34" borderId="10" xfId="0" applyFont="1" applyFill="1" applyBorder="1" applyAlignment="1" applyProtection="1">
      <alignment horizontal="center" vertical="center"/>
      <protection hidden="1"/>
    </xf>
    <xf numFmtId="0" fontId="23" fillId="34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34" borderId="10" xfId="0" applyFont="1" applyFill="1" applyBorder="1" applyAlignment="1" applyProtection="1">
      <alignment vertical="center"/>
      <protection hidden="1"/>
    </xf>
    <xf numFmtId="2" fontId="0" fillId="0" borderId="0" xfId="0" applyNumberFormat="1" applyAlignment="1">
      <alignment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 quotePrefix="1">
      <alignment vertical="center"/>
      <protection hidden="1"/>
    </xf>
    <xf numFmtId="14" fontId="14" fillId="0" borderId="10" xfId="0" applyNumberFormat="1" applyFont="1" applyBorder="1" applyAlignment="1" applyProtection="1">
      <alignment horizontal="center" vertical="center"/>
      <protection hidden="1"/>
    </xf>
    <xf numFmtId="10" fontId="14" fillId="0" borderId="10" xfId="0" applyNumberFormat="1" applyFont="1" applyBorder="1" applyAlignment="1" applyProtection="1">
      <alignment horizontal="center" vertical="center"/>
      <protection hidden="1"/>
    </xf>
    <xf numFmtId="1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>
      <alignment/>
    </xf>
    <xf numFmtId="3" fontId="14" fillId="0" borderId="0" xfId="0" applyNumberFormat="1" applyFont="1" applyAlignment="1" applyProtection="1">
      <alignment/>
      <protection hidden="1"/>
    </xf>
    <xf numFmtId="10" fontId="15" fillId="0" borderId="0" xfId="0" applyNumberFormat="1" applyFont="1" applyBorder="1" applyAlignment="1" applyProtection="1">
      <alignment horizontal="center" vertical="center"/>
      <protection hidden="1"/>
    </xf>
    <xf numFmtId="14" fontId="15" fillId="0" borderId="10" xfId="0" applyNumberFormat="1" applyFont="1" applyBorder="1" applyAlignment="1" applyProtection="1">
      <alignment horizontal="center" vertical="center"/>
      <protection hidden="1"/>
    </xf>
    <xf numFmtId="10" fontId="15" fillId="0" borderId="10" xfId="0" applyNumberFormat="1" applyFont="1" applyBorder="1" applyAlignment="1" applyProtection="1">
      <alignment horizontal="center" vertical="center"/>
      <protection hidden="1"/>
    </xf>
    <xf numFmtId="10" fontId="14" fillId="36" borderId="1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>
      <alignment/>
    </xf>
    <xf numFmtId="0" fontId="23" fillId="34" borderId="10" xfId="0" applyFont="1" applyFill="1" applyBorder="1" applyAlignment="1" applyProtection="1">
      <alignment vertical="center"/>
      <protection hidden="1"/>
    </xf>
    <xf numFmtId="10" fontId="14" fillId="0" borderId="14" xfId="0" applyNumberFormat="1" applyFont="1" applyBorder="1" applyAlignment="1" applyProtection="1">
      <alignment horizontal="center" vertical="center"/>
      <protection hidden="1"/>
    </xf>
    <xf numFmtId="10" fontId="14" fillId="0" borderId="15" xfId="0" applyNumberFormat="1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1" fontId="1" fillId="34" borderId="10" xfId="0" applyNumberFormat="1" applyFont="1" applyFill="1" applyBorder="1" applyAlignment="1" applyProtection="1">
      <alignment vertical="center"/>
      <protection hidden="1"/>
    </xf>
    <xf numFmtId="0" fontId="0" fillId="34" borderId="10" xfId="0" applyFont="1" applyFill="1" applyBorder="1" applyAlignment="1" applyProtection="1">
      <alignment vertical="center"/>
      <protection hidden="1"/>
    </xf>
    <xf numFmtId="4" fontId="5" fillId="35" borderId="16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4" fontId="5" fillId="35" borderId="16" xfId="0" applyNumberFormat="1" applyFont="1" applyFill="1" applyBorder="1" applyAlignment="1" applyProtection="1">
      <alignment vertical="center"/>
      <protection locked="0"/>
    </xf>
    <xf numFmtId="10" fontId="14" fillId="36" borderId="14" xfId="0" applyNumberFormat="1" applyFont="1" applyFill="1" applyBorder="1" applyAlignment="1" applyProtection="1">
      <alignment horizontal="center" vertical="center"/>
      <protection hidden="1"/>
    </xf>
    <xf numFmtId="10" fontId="14" fillId="36" borderId="15" xfId="0" applyNumberFormat="1" applyFont="1" applyFill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vertical="center"/>
    </xf>
    <xf numFmtId="0" fontId="10" fillId="37" borderId="20" xfId="0" applyFont="1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19" fillId="38" borderId="10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5" fillId="35" borderId="16" xfId="0" applyFon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4" fontId="19" fillId="38" borderId="10" xfId="0" applyNumberFormat="1" applyFont="1" applyFill="1" applyBorder="1" applyAlignment="1" applyProtection="1">
      <alignment vertical="center"/>
      <protection hidden="1"/>
    </xf>
    <xf numFmtId="4" fontId="20" fillId="38" borderId="10" xfId="0" applyNumberFormat="1" applyFont="1" applyFill="1" applyBorder="1" applyAlignment="1" applyProtection="1">
      <alignment vertical="center"/>
      <protection hidden="1"/>
    </xf>
    <xf numFmtId="4" fontId="23" fillId="34" borderId="1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4" fontId="23" fillId="34" borderId="10" xfId="0" applyNumberFormat="1" applyFont="1" applyFill="1" applyBorder="1" applyAlignment="1" applyProtection="1">
      <alignment vertical="center"/>
      <protection hidden="1"/>
    </xf>
    <xf numFmtId="10" fontId="15" fillId="0" borderId="14" xfId="0" applyNumberFormat="1" applyFont="1" applyBorder="1" applyAlignment="1" applyProtection="1">
      <alignment horizontal="center" vertical="center"/>
      <protection hidden="1"/>
    </xf>
    <xf numFmtId="10" fontId="15" fillId="0" borderId="15" xfId="0" applyNumberFormat="1" applyFont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showGridLines="0" tabSelected="1" zoomScalePageLayoutView="0" workbookViewId="0" topLeftCell="A1">
      <selection activeCell="H18" sqref="H18:I18"/>
    </sheetView>
  </sheetViews>
  <sheetFormatPr defaultColWidth="8.8515625" defaultRowHeight="12.75"/>
  <cols>
    <col min="1" max="1" width="1.1484375" style="0" customWidth="1"/>
    <col min="2" max="7" width="10.421875" style="0" customWidth="1"/>
    <col min="8" max="8" width="2.8515625" style="0" customWidth="1"/>
    <col min="9" max="9" width="10.421875" style="0" customWidth="1"/>
    <col min="10" max="10" width="3.8515625" style="0" customWidth="1"/>
    <col min="11" max="11" width="1.421875" style="0" customWidth="1"/>
    <col min="12" max="20" width="12.7109375" style="0" hidden="1" customWidth="1"/>
    <col min="21" max="25" width="12.7109375" style="0" customWidth="1"/>
  </cols>
  <sheetData>
    <row r="1" spans="1:12" ht="27" thickBot="1" thickTop="1">
      <c r="A1" s="82" t="s">
        <v>52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1"/>
    </row>
    <row r="2" spans="1:12" ht="15" thickBot="1" thickTop="1">
      <c r="A2" s="78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49"/>
    </row>
    <row r="3" spans="1:12" ht="10.5" customHeight="1" thickTop="1">
      <c r="A3" s="78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50"/>
    </row>
    <row r="4" spans="1:12" ht="6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2.75">
      <c r="A5" s="3"/>
      <c r="B5" s="4" t="s">
        <v>28</v>
      </c>
      <c r="C5" s="5"/>
      <c r="D5" s="5"/>
      <c r="E5" s="5"/>
      <c r="F5" s="5"/>
      <c r="G5" s="5"/>
      <c r="H5" s="5"/>
      <c r="I5" s="5"/>
      <c r="J5" s="5"/>
      <c r="K5" s="5"/>
      <c r="L5" s="1"/>
    </row>
    <row r="6" spans="1:12" ht="12" customHeight="1">
      <c r="A6" s="6"/>
      <c r="B6" s="7" t="s">
        <v>32</v>
      </c>
      <c r="C6" s="5"/>
      <c r="D6" s="5"/>
      <c r="E6" s="5"/>
      <c r="F6" s="5"/>
      <c r="G6" s="5"/>
      <c r="H6" s="5"/>
      <c r="I6" s="5"/>
      <c r="J6" s="5"/>
      <c r="K6" s="5"/>
      <c r="L6" s="1"/>
    </row>
    <row r="7" spans="1:11" ht="12" customHeight="1">
      <c r="A7" s="3"/>
      <c r="B7" s="8" t="s">
        <v>29</v>
      </c>
      <c r="C7" s="3"/>
      <c r="D7" s="3"/>
      <c r="E7" s="3"/>
      <c r="F7" s="3"/>
      <c r="G7" s="3"/>
      <c r="H7" s="3"/>
      <c r="I7" s="3"/>
      <c r="J7" s="3"/>
      <c r="K7" s="3"/>
    </row>
    <row r="8" spans="1:11" ht="12" customHeight="1">
      <c r="A8" s="3"/>
      <c r="B8" s="8" t="s">
        <v>31</v>
      </c>
      <c r="C8" s="3"/>
      <c r="D8" s="3"/>
      <c r="E8" s="3"/>
      <c r="F8" s="3"/>
      <c r="G8" s="3"/>
      <c r="H8" s="3"/>
      <c r="I8" s="3"/>
      <c r="J8" s="3"/>
      <c r="K8" s="3"/>
    </row>
    <row r="9" spans="1:11" ht="12" customHeight="1">
      <c r="A9" s="3"/>
      <c r="B9" s="8" t="s">
        <v>48</v>
      </c>
      <c r="C9" s="3"/>
      <c r="D9" s="3"/>
      <c r="E9" s="3"/>
      <c r="F9" s="3"/>
      <c r="G9" s="3"/>
      <c r="H9" s="3"/>
      <c r="I9" s="3"/>
      <c r="J9" s="3"/>
      <c r="K9" s="3"/>
    </row>
    <row r="10" spans="1:11" ht="12" customHeight="1">
      <c r="A10" s="3"/>
      <c r="B10" s="8" t="s">
        <v>53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 customHeight="1">
      <c r="A12" s="3"/>
      <c r="B12" s="70" t="s">
        <v>24</v>
      </c>
      <c r="C12" s="70"/>
      <c r="D12" s="70"/>
      <c r="E12" s="70"/>
      <c r="F12" s="70"/>
      <c r="G12" s="70"/>
      <c r="H12" s="92">
        <v>6005</v>
      </c>
      <c r="I12" s="93"/>
      <c r="J12" s="3"/>
      <c r="K12" s="3"/>
    </row>
    <row r="13" spans="1:11" ht="6.75" customHeight="1">
      <c r="A13" s="3"/>
      <c r="B13" s="11"/>
      <c r="C13" s="11"/>
      <c r="D13" s="11"/>
      <c r="E13" s="11"/>
      <c r="F13" s="11"/>
      <c r="G13" s="11"/>
      <c r="H13" s="11"/>
      <c r="I13" s="11"/>
      <c r="J13" s="3"/>
      <c r="K13" s="3"/>
    </row>
    <row r="14" spans="1:11" ht="18" customHeight="1">
      <c r="A14" s="3"/>
      <c r="B14" s="70" t="s">
        <v>33</v>
      </c>
      <c r="C14" s="70"/>
      <c r="D14" s="70"/>
      <c r="E14" s="70"/>
      <c r="F14" s="70"/>
      <c r="G14" s="70"/>
      <c r="H14" s="75">
        <v>43267</v>
      </c>
      <c r="I14" s="74"/>
      <c r="J14" s="3"/>
      <c r="K14" s="3"/>
    </row>
    <row r="15" spans="1:11" ht="6.75" customHeight="1">
      <c r="A15" s="3"/>
      <c r="B15" s="11"/>
      <c r="C15" s="11"/>
      <c r="D15" s="11"/>
      <c r="E15" s="11"/>
      <c r="F15" s="11"/>
      <c r="G15" s="11"/>
      <c r="H15" s="40"/>
      <c r="I15" s="11"/>
      <c r="J15" s="3"/>
      <c r="K15" s="3"/>
    </row>
    <row r="16" spans="1:11" ht="18" customHeight="1">
      <c r="A16" s="3"/>
      <c r="B16" s="70" t="s">
        <v>26</v>
      </c>
      <c r="C16" s="70"/>
      <c r="D16" s="70"/>
      <c r="E16" s="70"/>
      <c r="F16" s="70"/>
      <c r="G16" s="70"/>
      <c r="H16" s="75">
        <f ca="1">TODAY()</f>
        <v>43463</v>
      </c>
      <c r="I16" s="74"/>
      <c r="J16" s="3"/>
      <c r="K16" s="3"/>
    </row>
    <row r="17" spans="1:11" ht="6.75" customHeight="1">
      <c r="A17" s="3"/>
      <c r="B17" s="11"/>
      <c r="C17" s="11"/>
      <c r="D17" s="11"/>
      <c r="E17" s="11"/>
      <c r="F17" s="11"/>
      <c r="G17" s="11"/>
      <c r="H17" s="40"/>
      <c r="I17" s="11"/>
      <c r="J17" s="3"/>
      <c r="K17" s="3"/>
    </row>
    <row r="18" spans="1:12" ht="18" customHeight="1">
      <c r="A18" s="3"/>
      <c r="B18" s="70" t="s">
        <v>0</v>
      </c>
      <c r="C18" s="70"/>
      <c r="D18" s="70"/>
      <c r="E18" s="70"/>
      <c r="F18" s="70"/>
      <c r="G18" s="70"/>
      <c r="H18" s="73">
        <v>1000</v>
      </c>
      <c r="I18" s="74"/>
      <c r="J18" s="3"/>
      <c r="K18" s="3"/>
      <c r="L18" s="1"/>
    </row>
    <row r="19" spans="1:11" ht="6.75" customHeight="1">
      <c r="A19" s="3"/>
      <c r="B19" s="3"/>
      <c r="C19" s="3"/>
      <c r="D19" s="3"/>
      <c r="E19" s="3"/>
      <c r="F19" s="3"/>
      <c r="G19" s="3"/>
      <c r="H19" s="3"/>
      <c r="I19" s="9"/>
      <c r="J19" s="3"/>
      <c r="K19" s="3"/>
    </row>
    <row r="20" spans="1:11" ht="18" customHeight="1">
      <c r="A20" s="3"/>
      <c r="B20" s="86" t="s">
        <v>42</v>
      </c>
      <c r="C20" s="87"/>
      <c r="D20" s="87"/>
      <c r="E20" s="87"/>
      <c r="F20" s="87"/>
      <c r="G20" s="88"/>
      <c r="H20" s="39"/>
      <c r="I20" s="9"/>
      <c r="J20" s="3"/>
      <c r="K20" s="3"/>
    </row>
    <row r="21" spans="1:11" ht="9.75" customHeight="1">
      <c r="A21" s="3"/>
      <c r="B21" s="12"/>
      <c r="C21" s="10"/>
      <c r="D21" s="10"/>
      <c r="E21" s="10"/>
      <c r="F21" s="10"/>
      <c r="G21" s="10"/>
      <c r="H21" s="13"/>
      <c r="I21" s="9"/>
      <c r="J21" s="3"/>
      <c r="K21" s="3"/>
    </row>
    <row r="22" spans="1:11" ht="13.5" customHeight="1">
      <c r="A22" s="3"/>
      <c r="B22" s="12" t="s">
        <v>46</v>
      </c>
      <c r="C22" s="10"/>
      <c r="D22" s="10"/>
      <c r="E22" s="10"/>
      <c r="F22" s="10"/>
      <c r="G22" s="10"/>
      <c r="H22" s="13"/>
      <c r="I22" s="9"/>
      <c r="J22" s="3"/>
      <c r="K22" s="3"/>
    </row>
    <row r="23" spans="1:11" ht="13.5" customHeight="1">
      <c r="A23" s="3"/>
      <c r="B23" s="54" t="s">
        <v>50</v>
      </c>
      <c r="C23" s="10"/>
      <c r="D23" s="39" t="s">
        <v>47</v>
      </c>
      <c r="E23" s="12" t="s">
        <v>49</v>
      </c>
      <c r="G23" s="39"/>
      <c r="H23" s="53" t="s">
        <v>51</v>
      </c>
      <c r="I23" s="39"/>
      <c r="J23" s="3"/>
      <c r="K23" s="3"/>
    </row>
    <row r="24" spans="1:11" ht="9.75" customHeight="1">
      <c r="A24" s="3"/>
      <c r="B24" s="99"/>
      <c r="C24" s="99"/>
      <c r="D24" s="99"/>
      <c r="E24" s="99"/>
      <c r="F24" s="99"/>
      <c r="G24" s="99"/>
      <c r="H24" s="9"/>
      <c r="I24" s="9"/>
      <c r="J24" s="3"/>
      <c r="K24" s="3"/>
    </row>
    <row r="25" spans="1:11" ht="18" customHeight="1">
      <c r="A25" s="3"/>
      <c r="B25" s="85" t="s">
        <v>1</v>
      </c>
      <c r="C25" s="85"/>
      <c r="D25" s="85"/>
      <c r="E25" s="85"/>
      <c r="F25" s="85"/>
      <c r="G25" s="85"/>
      <c r="H25" s="71">
        <f>H16-H14</f>
        <v>196</v>
      </c>
      <c r="I25" s="72"/>
      <c r="J25" s="3"/>
      <c r="K25" s="3"/>
    </row>
    <row r="26" spans="1:11" s="2" customFormat="1" ht="6.75" customHeight="1">
      <c r="A26" s="14"/>
      <c r="B26" s="41"/>
      <c r="C26" s="41"/>
      <c r="D26" s="41"/>
      <c r="E26" s="41"/>
      <c r="F26" s="41"/>
      <c r="G26" s="41"/>
      <c r="H26" s="42"/>
      <c r="I26" s="43"/>
      <c r="J26" s="14"/>
      <c r="K26" s="14"/>
    </row>
    <row r="27" spans="1:11" ht="18" customHeight="1">
      <c r="A27" s="3"/>
      <c r="B27" s="67" t="s">
        <v>4</v>
      </c>
      <c r="C27" s="67"/>
      <c r="D27" s="67"/>
      <c r="E27" s="51"/>
      <c r="F27" s="45" t="s">
        <v>27</v>
      </c>
      <c r="G27" s="46">
        <f>H12</f>
        <v>6005</v>
      </c>
      <c r="H27" s="100">
        <f>H18</f>
        <v>1000</v>
      </c>
      <c r="I27" s="100"/>
      <c r="J27" s="3"/>
      <c r="K27" s="3"/>
    </row>
    <row r="28" spans="1:11" ht="18" customHeight="1">
      <c r="A28" s="3"/>
      <c r="B28" s="67" t="s">
        <v>5</v>
      </c>
      <c r="C28" s="67"/>
      <c r="D28" s="67"/>
      <c r="E28" s="51"/>
      <c r="F28" s="45" t="s">
        <v>27</v>
      </c>
      <c r="G28" s="46">
        <f>+IF(H12=1001,H12)+IF(H12=1011,H12)+IF(H12=1020,H12)+IF(H12=1019,H12)+IF(H12=1012,H12)+IF(H12=1015,H12)+IF(H12=1038,H12)+IF(H12=1040,H12)+IF(H12=1041,H12)+IF(H12=1042,H12)+IF(H12=2112,1990)+IF(H12=3800,1993)+IF(H12=3801,1994)+IF(H12=3812,1993)+IF(H12=3813,1993)+IF(H12=3816,H12)+IF(H12=4001,1989)+IF(H12=4033,1989)+IF(H12=4034,1989)+IF(H12=6001,1991)+IF(H12=6002,1991)+IF(H12=6003,1991)+IF(H12=6004,1991)+IF(H12=6005,1991)+IF(H12=6006,1991)+IF(H12=6007,1991)+IF(H12=6008,1991)+IF(H12=6009,1991)+IF(H12=6010,1991)+IF(H12=6011,1991)+IF(H12=6012,1991)+IF(H12=6013,1991)+IF(H12=6031,1991)+IF(H12=6032,1991)+IF(H12=6033,1991)+IF(H12=6034,1991)+IF(H12=6035,1991)+IF(H12=6099,1991)+IF(H12=3802,H12)+IF(H12=2001,1990)+IF(H12=2002,1990)+IF(H12=2003,1990)</f>
        <v>1991</v>
      </c>
      <c r="H28" s="98">
        <f>J104</f>
        <v>1.610958904109589</v>
      </c>
      <c r="I28" s="98"/>
      <c r="J28" s="3"/>
      <c r="K28" s="3"/>
    </row>
    <row r="29" spans="1:11" ht="18" customHeight="1">
      <c r="A29" s="3"/>
      <c r="B29" s="67" t="s">
        <v>2</v>
      </c>
      <c r="C29" s="67"/>
      <c r="D29" s="67"/>
      <c r="E29" s="51"/>
      <c r="F29" s="45" t="s">
        <v>27</v>
      </c>
      <c r="G29" s="46">
        <f>+IF(H12=1001,8906)+IF(H12=1011,8906)+IF(H12=1020,8906)+IF(H12=1019,8906)+IF(H12=1012,8906)+IF(H12=1015,8906)+IF(H12=1038,8906)+IF(H12=1040,8906)+IF(H12=1041,8906)+IF(H12=1042,8906)+IF(H12=2112,8905)+IF(H12=3800,8907)+IF(H12=3801,8902)+IF(H12=3812,8907)+IF(H12=3813,8907)+IF(H12=3816,8906)+IF(H12=4001,8901)+IF(H12=4033,8901)+IF(H12=4034,8901)+IF(H12=6001,8904)+IF(H12=6002,8904)+IF(H12=6003,8904)+IF(H12=6004,8904)+IF(H12=6005,8904)+IF(H12=6006,8904)+IF(H12=6007,8904)+IF(H12=6008,8904)+IF(H12=6009,8904)+IF(H12=6010,8904)+IF(H12=6011,8904)+IF(H12=6012,8904)+IF(H12=6013,8904)+IF(H12=6031,8904)+IF(H12=6032,8904)+IF(H12=6033,8904)+IF(H12=6034,8904)+IF(H12=6035,8904)+IF(H12=6099,8904)+IF(H12=3802,8906)+IF(H12=2001,8918)+IF(H12=2002,8918)+IF(H12=2003,8918)</f>
        <v>8904</v>
      </c>
      <c r="H29" s="98">
        <f>IF(H20="X",H18/100*10,IF(H25&lt;=14,H18/100*0.2*H25/2,IF(H25&gt;14,O80)))</f>
        <v>37.5</v>
      </c>
      <c r="I29" s="98"/>
      <c r="J29" s="3"/>
      <c r="K29" s="3"/>
    </row>
    <row r="30" spans="1:11" ht="18" customHeight="1">
      <c r="A30" s="3"/>
      <c r="B30" s="84" t="s">
        <v>3</v>
      </c>
      <c r="C30" s="84"/>
      <c r="D30" s="84"/>
      <c r="E30" s="84"/>
      <c r="F30" s="84"/>
      <c r="G30" s="84"/>
      <c r="H30" s="96">
        <f>SUM(H27:H29)</f>
        <v>1039.1109589041096</v>
      </c>
      <c r="I30" s="97"/>
      <c r="J30" s="3"/>
      <c r="K30" s="3"/>
    </row>
    <row r="31" spans="1:11" ht="10.5" customHeight="1">
      <c r="A31" s="3"/>
      <c r="B31" s="9"/>
      <c r="C31" s="9"/>
      <c r="D31" s="9"/>
      <c r="E31" s="9"/>
      <c r="F31" s="9"/>
      <c r="G31" s="9"/>
      <c r="H31" s="9"/>
      <c r="I31" s="9"/>
      <c r="J31" s="3"/>
      <c r="K31" s="3"/>
    </row>
    <row r="32" spans="1:11" ht="15.75" customHeight="1">
      <c r="A32" s="3"/>
      <c r="B32" s="80" t="s">
        <v>23</v>
      </c>
      <c r="C32" s="89"/>
      <c r="D32" s="89"/>
      <c r="E32" s="89"/>
      <c r="F32" s="90"/>
      <c r="G32" s="91"/>
      <c r="H32" s="91"/>
      <c r="I32" s="91"/>
      <c r="J32" s="3"/>
      <c r="K32" s="3"/>
    </row>
    <row r="33" spans="1:11" ht="13.5" customHeight="1">
      <c r="A33" s="3"/>
      <c r="B33" s="15" t="s">
        <v>20</v>
      </c>
      <c r="C33" s="15" t="s">
        <v>21</v>
      </c>
      <c r="D33" s="15" t="s">
        <v>6</v>
      </c>
      <c r="E33" s="15" t="s">
        <v>41</v>
      </c>
      <c r="F33" s="15" t="s">
        <v>45</v>
      </c>
      <c r="G33" s="15" t="s">
        <v>44</v>
      </c>
      <c r="H33" s="80" t="s">
        <v>43</v>
      </c>
      <c r="I33" s="81"/>
      <c r="J33" s="3"/>
      <c r="K33" s="3"/>
    </row>
    <row r="34" spans="1:11" s="59" customFormat="1" ht="12.75" customHeight="1">
      <c r="A34" s="8"/>
      <c r="B34" s="55">
        <v>36161</v>
      </c>
      <c r="C34" s="55">
        <v>39780</v>
      </c>
      <c r="D34" s="56">
        <v>0.0375</v>
      </c>
      <c r="E34" s="56">
        <v>0.06</v>
      </c>
      <c r="F34" s="56">
        <v>0.06</v>
      </c>
      <c r="G34" s="64"/>
      <c r="H34" s="76"/>
      <c r="I34" s="77"/>
      <c r="J34" s="8"/>
      <c r="K34" s="8"/>
    </row>
    <row r="35" spans="1:11" s="59" customFormat="1" ht="12.75" customHeight="1">
      <c r="A35" s="8"/>
      <c r="B35" s="55">
        <v>39781</v>
      </c>
      <c r="C35" s="55">
        <v>40574</v>
      </c>
      <c r="D35" s="56">
        <v>0.025</v>
      </c>
      <c r="E35" s="56">
        <v>0.025</v>
      </c>
      <c r="F35" s="56">
        <v>0.03</v>
      </c>
      <c r="G35" s="64"/>
      <c r="H35" s="76"/>
      <c r="I35" s="77"/>
      <c r="J35" s="8"/>
      <c r="K35" s="8"/>
    </row>
    <row r="36" spans="1:11" s="59" customFormat="1" ht="12.75" customHeight="1">
      <c r="A36" s="8"/>
      <c r="B36" s="55">
        <v>40575</v>
      </c>
      <c r="C36" s="55">
        <v>42004</v>
      </c>
      <c r="D36" s="56">
        <f>0.3/10</f>
        <v>0.03</v>
      </c>
      <c r="E36" s="56">
        <f>0.3/8</f>
        <v>0.0375</v>
      </c>
      <c r="F36" s="56">
        <f>0.3/8</f>
        <v>0.0375</v>
      </c>
      <c r="G36" s="56">
        <f>0.3/7</f>
        <v>0.04285714285714286</v>
      </c>
      <c r="H36" s="68">
        <f>0.3/6</f>
        <v>0.049999999999999996</v>
      </c>
      <c r="I36" s="69"/>
      <c r="J36" s="8"/>
      <c r="K36" s="8"/>
    </row>
    <row r="37" spans="1:11" s="59" customFormat="1" ht="12.75" customHeight="1">
      <c r="A37" s="8"/>
      <c r="B37" s="55">
        <v>42005</v>
      </c>
      <c r="C37" s="55">
        <v>42369</v>
      </c>
      <c r="D37" s="56">
        <f>0.3/10</f>
        <v>0.03</v>
      </c>
      <c r="E37" s="56">
        <f>0.3/9</f>
        <v>0.03333333333333333</v>
      </c>
      <c r="F37" s="56">
        <f>0.3/8</f>
        <v>0.0375</v>
      </c>
      <c r="G37" s="56">
        <f>0.3/7</f>
        <v>0.04285714285714286</v>
      </c>
      <c r="H37" s="68">
        <f>0.3/6</f>
        <v>0.049999999999999996</v>
      </c>
      <c r="I37" s="69"/>
      <c r="J37" s="8"/>
      <c r="K37" s="8"/>
    </row>
    <row r="38" spans="1:11" s="66" customFormat="1" ht="12.75" customHeight="1">
      <c r="A38" s="65"/>
      <c r="B38" s="62">
        <v>42370</v>
      </c>
      <c r="C38" s="62">
        <v>44196</v>
      </c>
      <c r="D38" s="63">
        <f>0.3/10/2</f>
        <v>0.015</v>
      </c>
      <c r="E38" s="63">
        <f>0.3/9/2</f>
        <v>0.016666666666666666</v>
      </c>
      <c r="F38" s="63">
        <f>0.3/8</f>
        <v>0.0375</v>
      </c>
      <c r="G38" s="63">
        <f>0.3/7</f>
        <v>0.04285714285714286</v>
      </c>
      <c r="H38" s="101">
        <f>0.3/6</f>
        <v>0.049999999999999996</v>
      </c>
      <c r="I38" s="102"/>
      <c r="J38" s="65"/>
      <c r="K38" s="65"/>
    </row>
    <row r="39" spans="1:11" ht="9.75" customHeight="1">
      <c r="A39" s="3"/>
      <c r="B39" s="9"/>
      <c r="C39" s="18"/>
      <c r="D39" s="9"/>
      <c r="E39" s="9"/>
      <c r="F39" s="9"/>
      <c r="G39" s="9"/>
      <c r="H39" s="9"/>
      <c r="I39" s="9"/>
      <c r="J39" s="3"/>
      <c r="K39" s="3"/>
    </row>
    <row r="40" spans="1:11" ht="15.75" customHeight="1">
      <c r="A40" s="3"/>
      <c r="B40" s="94" t="s">
        <v>19</v>
      </c>
      <c r="C40" s="95"/>
      <c r="D40" s="95"/>
      <c r="E40" s="22"/>
      <c r="F40" s="9"/>
      <c r="G40" s="9"/>
      <c r="H40" s="9"/>
      <c r="I40" s="9"/>
      <c r="J40" s="3"/>
      <c r="K40" s="3"/>
    </row>
    <row r="41" spans="1:11" ht="13.5" customHeight="1">
      <c r="A41" s="3"/>
      <c r="B41" s="15" t="s">
        <v>20</v>
      </c>
      <c r="C41" s="15" t="s">
        <v>21</v>
      </c>
      <c r="D41" s="15" t="s">
        <v>22</v>
      </c>
      <c r="E41" s="22"/>
      <c r="F41" s="9"/>
      <c r="G41" s="9"/>
      <c r="H41" s="9"/>
      <c r="I41" s="9"/>
      <c r="J41" s="3"/>
      <c r="K41" s="3"/>
    </row>
    <row r="42" spans="1:14" s="59" customFormat="1" ht="12.75" customHeight="1">
      <c r="A42" s="8"/>
      <c r="B42" s="55">
        <v>36161</v>
      </c>
      <c r="C42" s="55">
        <v>36891</v>
      </c>
      <c r="D42" s="56">
        <v>0.025</v>
      </c>
      <c r="E42" s="57"/>
      <c r="F42" s="58"/>
      <c r="G42" s="58"/>
      <c r="H42" s="58"/>
      <c r="I42" s="58"/>
      <c r="J42" s="8"/>
      <c r="K42" s="8"/>
      <c r="N42" s="59">
        <f aca="true" t="shared" si="0" ref="N42:N51">(IF(B75&lt;$H$14&lt;C75,0,1))</f>
        <v>1</v>
      </c>
    </row>
    <row r="43" spans="1:14" s="59" customFormat="1" ht="12.75" customHeight="1">
      <c r="A43" s="8"/>
      <c r="B43" s="55">
        <v>36892</v>
      </c>
      <c r="C43" s="55">
        <f aca="true" t="shared" si="1" ref="C43:C48">B44-1</f>
        <v>37256</v>
      </c>
      <c r="D43" s="56">
        <v>0.035</v>
      </c>
      <c r="E43" s="57"/>
      <c r="F43" s="58"/>
      <c r="G43" s="58"/>
      <c r="H43" s="58"/>
      <c r="I43" s="58"/>
      <c r="J43" s="8"/>
      <c r="K43" s="8"/>
      <c r="N43" s="59">
        <f t="shared" si="0"/>
        <v>1</v>
      </c>
    </row>
    <row r="44" spans="1:14" s="59" customFormat="1" ht="12.75" customHeight="1">
      <c r="A44" s="8"/>
      <c r="B44" s="55">
        <v>37257</v>
      </c>
      <c r="C44" s="55">
        <f t="shared" si="1"/>
        <v>37986</v>
      </c>
      <c r="D44" s="56">
        <v>0.03</v>
      </c>
      <c r="E44" s="57"/>
      <c r="F44" s="58"/>
      <c r="G44" s="58"/>
      <c r="H44" s="58"/>
      <c r="I44" s="58"/>
      <c r="J44" s="8"/>
      <c r="K44" s="8"/>
      <c r="N44" s="59">
        <f t="shared" si="0"/>
        <v>1</v>
      </c>
    </row>
    <row r="45" spans="1:14" s="59" customFormat="1" ht="12.75" customHeight="1">
      <c r="A45" s="8"/>
      <c r="B45" s="55">
        <v>37987</v>
      </c>
      <c r="C45" s="55">
        <f t="shared" si="1"/>
        <v>39447</v>
      </c>
      <c r="D45" s="56">
        <v>0.025</v>
      </c>
      <c r="E45" s="57"/>
      <c r="F45" s="58"/>
      <c r="G45" s="58"/>
      <c r="H45" s="58"/>
      <c r="I45" s="58"/>
      <c r="J45" s="8"/>
      <c r="K45" s="8"/>
      <c r="N45" s="59">
        <f t="shared" si="0"/>
        <v>1</v>
      </c>
    </row>
    <row r="46" spans="1:14" s="59" customFormat="1" ht="12.75" customHeight="1">
      <c r="A46" s="8"/>
      <c r="B46" s="55">
        <v>39448</v>
      </c>
      <c r="C46" s="55">
        <f t="shared" si="1"/>
        <v>40178</v>
      </c>
      <c r="D46" s="56">
        <v>0.03</v>
      </c>
      <c r="E46" s="57"/>
      <c r="F46" s="60"/>
      <c r="G46" s="58"/>
      <c r="H46" s="58"/>
      <c r="I46" s="58"/>
      <c r="J46" s="8"/>
      <c r="K46" s="8"/>
      <c r="N46" s="59">
        <f t="shared" si="0"/>
        <v>1</v>
      </c>
    </row>
    <row r="47" spans="1:14" s="59" customFormat="1" ht="12.75" customHeight="1">
      <c r="A47" s="8"/>
      <c r="B47" s="55">
        <v>40179</v>
      </c>
      <c r="C47" s="55">
        <f t="shared" si="1"/>
        <v>40543</v>
      </c>
      <c r="D47" s="56">
        <v>0.01</v>
      </c>
      <c r="E47" s="57"/>
      <c r="F47" s="60"/>
      <c r="G47" s="58"/>
      <c r="H47" s="58"/>
      <c r="I47" s="58"/>
      <c r="J47" s="8"/>
      <c r="K47" s="8"/>
      <c r="N47" s="59">
        <f t="shared" si="0"/>
        <v>1</v>
      </c>
    </row>
    <row r="48" spans="1:14" s="59" customFormat="1" ht="12.75" customHeight="1">
      <c r="A48" s="8"/>
      <c r="B48" s="55">
        <v>40544</v>
      </c>
      <c r="C48" s="55">
        <f t="shared" si="1"/>
        <v>40908</v>
      </c>
      <c r="D48" s="56">
        <v>0.015</v>
      </c>
      <c r="E48" s="57"/>
      <c r="F48" s="60"/>
      <c r="G48" s="58"/>
      <c r="H48" s="58"/>
      <c r="I48" s="58"/>
      <c r="J48" s="8"/>
      <c r="K48" s="8"/>
      <c r="N48" s="59">
        <f t="shared" si="0"/>
        <v>1</v>
      </c>
    </row>
    <row r="49" spans="1:14" s="59" customFormat="1" ht="12.75" customHeight="1">
      <c r="A49" s="8"/>
      <c r="B49" s="55">
        <v>40909</v>
      </c>
      <c r="C49" s="55">
        <v>41639</v>
      </c>
      <c r="D49" s="56">
        <v>0.025</v>
      </c>
      <c r="E49" s="57"/>
      <c r="F49" s="60"/>
      <c r="G49" s="58"/>
      <c r="H49" s="58"/>
      <c r="I49" s="58"/>
      <c r="J49" s="8"/>
      <c r="K49" s="8"/>
      <c r="N49" s="59">
        <f t="shared" si="0"/>
        <v>1</v>
      </c>
    </row>
    <row r="50" spans="1:14" s="59" customFormat="1" ht="12.75" customHeight="1">
      <c r="A50" s="8"/>
      <c r="B50" s="55">
        <v>41640</v>
      </c>
      <c r="C50" s="55">
        <v>42004</v>
      </c>
      <c r="D50" s="56">
        <v>0.01</v>
      </c>
      <c r="E50" s="57"/>
      <c r="F50" s="60"/>
      <c r="G50" s="58"/>
      <c r="H50" s="58"/>
      <c r="I50" s="58"/>
      <c r="J50" s="8"/>
      <c r="K50" s="8"/>
      <c r="N50" s="59">
        <f t="shared" si="0"/>
        <v>1</v>
      </c>
    </row>
    <row r="51" spans="1:14" s="59" customFormat="1" ht="12.75" customHeight="1">
      <c r="A51" s="8"/>
      <c r="B51" s="55">
        <v>42005</v>
      </c>
      <c r="C51" s="55">
        <v>42369</v>
      </c>
      <c r="D51" s="56">
        <v>0.005</v>
      </c>
      <c r="E51" s="57"/>
      <c r="F51" s="60"/>
      <c r="G51" s="58"/>
      <c r="H51" s="58"/>
      <c r="I51" s="58"/>
      <c r="J51" s="8"/>
      <c r="K51" s="8"/>
      <c r="N51" s="59">
        <f t="shared" si="0"/>
        <v>1</v>
      </c>
    </row>
    <row r="52" spans="1:11" s="59" customFormat="1" ht="12.75" customHeight="1">
      <c r="A52" s="8"/>
      <c r="B52" s="55">
        <v>42370</v>
      </c>
      <c r="C52" s="55">
        <v>42735</v>
      </c>
      <c r="D52" s="56">
        <v>0.002</v>
      </c>
      <c r="E52" s="57"/>
      <c r="F52" s="60"/>
      <c r="G52" s="58"/>
      <c r="H52" s="58"/>
      <c r="I52" s="58"/>
      <c r="J52" s="8"/>
      <c r="K52" s="8"/>
    </row>
    <row r="53" spans="1:14" s="59" customFormat="1" ht="12.75" customHeight="1">
      <c r="A53" s="8"/>
      <c r="B53" s="55">
        <v>42736</v>
      </c>
      <c r="C53" s="55">
        <v>43100</v>
      </c>
      <c r="D53" s="56">
        <v>0.001</v>
      </c>
      <c r="E53" s="61"/>
      <c r="F53" s="60"/>
      <c r="G53" s="58"/>
      <c r="H53" s="58"/>
      <c r="I53" s="58"/>
      <c r="J53" s="8"/>
      <c r="K53" s="8"/>
      <c r="N53" s="59">
        <f>(IF(B85&lt;$H$14&lt;C85,0,1))</f>
        <v>1</v>
      </c>
    </row>
    <row r="54" spans="1:14" s="59" customFormat="1" ht="12.75" customHeight="1">
      <c r="A54" s="8"/>
      <c r="B54" s="55">
        <v>43101</v>
      </c>
      <c r="C54" s="55">
        <v>43465</v>
      </c>
      <c r="D54" s="56">
        <v>0.003</v>
      </c>
      <c r="E54" s="61"/>
      <c r="F54" s="60"/>
      <c r="G54" s="58"/>
      <c r="H54" s="58"/>
      <c r="I54" s="58"/>
      <c r="J54" s="8"/>
      <c r="K54" s="8"/>
      <c r="N54" s="59">
        <f>(IF(B86&lt;$H$14&lt;C86,0,1))</f>
        <v>1</v>
      </c>
    </row>
    <row r="55" spans="1:14" s="59" customFormat="1" ht="12.75" customHeight="1">
      <c r="A55" s="8"/>
      <c r="B55" s="62">
        <v>43466</v>
      </c>
      <c r="C55" s="62">
        <v>44196</v>
      </c>
      <c r="D55" s="63">
        <v>0.008</v>
      </c>
      <c r="E55" s="57"/>
      <c r="F55" s="60"/>
      <c r="G55" s="58"/>
      <c r="H55" s="58"/>
      <c r="I55" s="58"/>
      <c r="J55" s="8"/>
      <c r="K55" s="8"/>
      <c r="N55" s="59">
        <f aca="true" t="shared" si="2" ref="N55:N66">(IF(B88&lt;$H$14&lt;C88,0,1))</f>
        <v>1</v>
      </c>
    </row>
    <row r="56" spans="1:14" ht="12.75" customHeight="1">
      <c r="A56" s="3"/>
      <c r="F56" s="20"/>
      <c r="G56" s="9"/>
      <c r="H56" s="9"/>
      <c r="I56" s="9"/>
      <c r="J56" s="3"/>
      <c r="K56" s="3"/>
      <c r="N56">
        <f t="shared" si="2"/>
        <v>1</v>
      </c>
    </row>
    <row r="57" spans="1:14" ht="12.75" customHeight="1" hidden="1">
      <c r="A57" s="3"/>
      <c r="F57" s="20"/>
      <c r="G57" s="9"/>
      <c r="H57" s="9"/>
      <c r="I57" s="9"/>
      <c r="J57" s="3"/>
      <c r="K57" s="3"/>
      <c r="N57">
        <f t="shared" si="2"/>
        <v>1</v>
      </c>
    </row>
    <row r="58" spans="1:14" ht="12.75" customHeight="1" hidden="1">
      <c r="A58" s="3"/>
      <c r="F58" s="20"/>
      <c r="G58" s="9"/>
      <c r="H58" s="9"/>
      <c r="I58" s="9"/>
      <c r="J58" s="3"/>
      <c r="K58" s="3"/>
      <c r="N58">
        <f t="shared" si="2"/>
        <v>1</v>
      </c>
    </row>
    <row r="59" spans="1:14" ht="12.75" customHeight="1" hidden="1">
      <c r="A59" s="3"/>
      <c r="F59" s="20"/>
      <c r="G59" s="9"/>
      <c r="H59" s="9"/>
      <c r="I59" s="9"/>
      <c r="J59" s="3"/>
      <c r="K59" s="3"/>
      <c r="N59">
        <f t="shared" si="2"/>
        <v>1</v>
      </c>
    </row>
    <row r="60" spans="1:14" ht="12.75" customHeight="1" hidden="1">
      <c r="A60" s="3"/>
      <c r="B60" s="44">
        <v>1989</v>
      </c>
      <c r="C60" t="s">
        <v>34</v>
      </c>
      <c r="D60" s="22"/>
      <c r="E60" s="22"/>
      <c r="F60" s="20"/>
      <c r="G60" s="9"/>
      <c r="H60" s="9"/>
      <c r="I60" s="9"/>
      <c r="J60" s="3"/>
      <c r="K60" s="3"/>
      <c r="N60">
        <f t="shared" si="2"/>
        <v>1</v>
      </c>
    </row>
    <row r="61" spans="1:14" ht="12.75" customHeight="1" hidden="1">
      <c r="A61" s="3"/>
      <c r="B61" s="44">
        <v>1990</v>
      </c>
      <c r="C61" t="s">
        <v>35</v>
      </c>
      <c r="D61" s="22"/>
      <c r="E61" s="22"/>
      <c r="F61" s="20"/>
      <c r="G61" s="9"/>
      <c r="H61" s="9"/>
      <c r="I61" s="9"/>
      <c r="J61" s="3"/>
      <c r="K61" s="3"/>
      <c r="N61">
        <f t="shared" si="2"/>
        <v>1</v>
      </c>
    </row>
    <row r="62" spans="1:14" ht="12.75" customHeight="1" hidden="1">
      <c r="A62" s="3"/>
      <c r="B62" s="44">
        <v>1991</v>
      </c>
      <c r="C62" t="s">
        <v>36</v>
      </c>
      <c r="D62" s="22"/>
      <c r="E62" s="22"/>
      <c r="F62" s="20"/>
      <c r="G62" s="9"/>
      <c r="H62" s="9"/>
      <c r="I62" s="9"/>
      <c r="J62" s="3"/>
      <c r="K62" s="3"/>
      <c r="N62">
        <f t="shared" si="2"/>
        <v>1</v>
      </c>
    </row>
    <row r="63" spans="1:14" ht="12.75" customHeight="1" hidden="1">
      <c r="A63" s="3"/>
      <c r="B63" s="44">
        <v>1992</v>
      </c>
      <c r="C63" t="s">
        <v>37</v>
      </c>
      <c r="D63" s="22"/>
      <c r="E63" s="22"/>
      <c r="F63" s="20"/>
      <c r="G63" s="9"/>
      <c r="H63" s="9"/>
      <c r="I63" s="9"/>
      <c r="J63" s="3"/>
      <c r="K63" s="3"/>
      <c r="N63">
        <f t="shared" si="2"/>
        <v>1</v>
      </c>
    </row>
    <row r="64" spans="1:14" ht="12.75" customHeight="1" hidden="1">
      <c r="A64" s="3"/>
      <c r="B64" s="44">
        <v>1993</v>
      </c>
      <c r="C64" t="s">
        <v>38</v>
      </c>
      <c r="D64" s="22"/>
      <c r="E64" s="22"/>
      <c r="F64" s="20"/>
      <c r="G64" s="9"/>
      <c r="H64" s="9"/>
      <c r="I64" s="9"/>
      <c r="J64" s="3"/>
      <c r="K64" s="3"/>
      <c r="N64">
        <f t="shared" si="2"/>
        <v>1</v>
      </c>
    </row>
    <row r="65" spans="1:14" ht="12.75" customHeight="1" hidden="1">
      <c r="A65" s="3"/>
      <c r="B65" s="44">
        <v>1994</v>
      </c>
      <c r="C65" t="s">
        <v>39</v>
      </c>
      <c r="D65" s="22"/>
      <c r="E65" s="22"/>
      <c r="F65" s="20"/>
      <c r="G65" s="9"/>
      <c r="H65" s="9"/>
      <c r="I65" s="9"/>
      <c r="J65" s="3"/>
      <c r="K65" s="3"/>
      <c r="N65">
        <f t="shared" si="2"/>
        <v>1</v>
      </c>
    </row>
    <row r="66" spans="1:14" ht="12.75" customHeight="1" hidden="1">
      <c r="A66" s="3"/>
      <c r="B66" s="44">
        <v>1995</v>
      </c>
      <c r="C66" t="s">
        <v>40</v>
      </c>
      <c r="D66" s="22"/>
      <c r="E66" s="22"/>
      <c r="F66" s="20"/>
      <c r="G66" s="9"/>
      <c r="H66" s="9"/>
      <c r="I66" s="9"/>
      <c r="J66" s="3"/>
      <c r="K66" s="3"/>
      <c r="N66">
        <f t="shared" si="2"/>
        <v>1</v>
      </c>
    </row>
    <row r="67" spans="1:14" ht="12.75" customHeight="1" hidden="1">
      <c r="A67" s="3"/>
      <c r="F67" s="20"/>
      <c r="G67" s="9"/>
      <c r="H67" s="9"/>
      <c r="I67" s="9"/>
      <c r="J67" s="3"/>
      <c r="K67" s="3"/>
      <c r="N67">
        <f>(IF(B101&lt;$H$14&lt;C101,0,1))</f>
        <v>1</v>
      </c>
    </row>
    <row r="68" spans="1:14" ht="12.75" customHeight="1" hidden="1">
      <c r="A68" s="3"/>
      <c r="B68" s="21"/>
      <c r="C68" s="21"/>
      <c r="D68" s="22"/>
      <c r="E68" s="22"/>
      <c r="F68" s="20"/>
      <c r="G68" s="9"/>
      <c r="H68" s="9"/>
      <c r="I68" s="9"/>
      <c r="J68" s="3"/>
      <c r="K68" s="3"/>
      <c r="N68">
        <f>(IF(B104&lt;$H$14&lt;C104,0,1))</f>
        <v>1</v>
      </c>
    </row>
    <row r="69" spans="1:11" ht="12.75" customHeight="1" hidden="1">
      <c r="A69" s="3"/>
      <c r="B69" s="23" t="s">
        <v>7</v>
      </c>
      <c r="C69" s="23" t="s">
        <v>8</v>
      </c>
      <c r="D69" s="23"/>
      <c r="E69" s="23"/>
      <c r="F69" s="23" t="s">
        <v>9</v>
      </c>
      <c r="G69" s="23"/>
      <c r="H69" s="9"/>
      <c r="I69" s="9"/>
      <c r="J69" s="3"/>
      <c r="K69" s="3"/>
    </row>
    <row r="70" spans="1:11" ht="12.75" customHeight="1" hidden="1">
      <c r="A70" s="3"/>
      <c r="B70" s="24">
        <f>H14</f>
        <v>43267</v>
      </c>
      <c r="C70" s="24">
        <f>H16</f>
        <v>43463</v>
      </c>
      <c r="D70" s="24"/>
      <c r="E70" s="24"/>
      <c r="F70" s="25">
        <f>H18</f>
        <v>1000</v>
      </c>
      <c r="G70" s="26"/>
      <c r="H70" s="9"/>
      <c r="I70" s="9"/>
      <c r="J70" s="3"/>
      <c r="K70" s="3"/>
    </row>
    <row r="71" spans="1:11" ht="12.75" customHeight="1" hidden="1">
      <c r="A71" s="3"/>
      <c r="B71" s="29"/>
      <c r="C71" s="30"/>
      <c r="D71" s="29"/>
      <c r="E71" s="29"/>
      <c r="F71" s="31"/>
      <c r="G71" s="3"/>
      <c r="H71" s="9"/>
      <c r="I71" s="9"/>
      <c r="J71" s="3"/>
      <c r="K71" s="3"/>
    </row>
    <row r="72" spans="1:19" ht="12.75" customHeight="1" hidden="1">
      <c r="A72" s="3"/>
      <c r="B72" s="23" t="s">
        <v>7</v>
      </c>
      <c r="C72" s="23" t="s">
        <v>8</v>
      </c>
      <c r="D72" s="23" t="str">
        <f>D33</f>
        <v>entro 30gg.</v>
      </c>
      <c r="E72" s="23" t="str">
        <f>E33</f>
        <v>entro 90gg.</v>
      </c>
      <c r="F72" s="23" t="str">
        <f>F33</f>
        <v>entro dich.</v>
      </c>
      <c r="G72" s="23" t="str">
        <f>G33</f>
        <v>dich. succ.</v>
      </c>
      <c r="I72" s="23" t="str">
        <f>H33</f>
        <v>oltre termini prec.</v>
      </c>
      <c r="L72" s="23" t="s">
        <v>14</v>
      </c>
      <c r="M72" s="23" t="s">
        <v>15</v>
      </c>
      <c r="N72" s="23" t="s">
        <v>30</v>
      </c>
      <c r="O72" s="23" t="s">
        <v>6</v>
      </c>
      <c r="P72" s="23" t="s">
        <v>41</v>
      </c>
      <c r="Q72" s="23" t="str">
        <f>F72</f>
        <v>entro dich.</v>
      </c>
      <c r="R72" s="23" t="str">
        <f>G72</f>
        <v>dich. succ.</v>
      </c>
      <c r="S72" s="23" t="str">
        <f>I72</f>
        <v>oltre termini prec.</v>
      </c>
    </row>
    <row r="73" spans="1:19" ht="12.75" customHeight="1" hidden="1">
      <c r="A73" s="3"/>
      <c r="B73" s="16">
        <v>36161</v>
      </c>
      <c r="C73" s="16">
        <v>39780</v>
      </c>
      <c r="D73" s="17">
        <v>0.0375</v>
      </c>
      <c r="E73" s="17">
        <v>0.06</v>
      </c>
      <c r="F73" s="17">
        <v>0.06</v>
      </c>
      <c r="G73" s="17"/>
      <c r="I73" s="17"/>
      <c r="L73" s="32">
        <f>IF($B$70&lt;=C73,IF($B$70&lt;B73,B73,$B$70),0)</f>
        <v>0</v>
      </c>
      <c r="M73" s="32">
        <f>IF($C$70&gt;=B73,IF($C$70&gt;C73,C73,$C$70),0)</f>
        <v>39780</v>
      </c>
      <c r="N73" s="34">
        <f>IF(AND(B73&lt;$H$14,$H$14&lt;=C73),1,0)</f>
        <v>0</v>
      </c>
      <c r="O73" s="35">
        <f>$F$70*D73*$N$73</f>
        <v>0</v>
      </c>
      <c r="P73" s="35">
        <f>$F$70*E73*$N$73</f>
        <v>0</v>
      </c>
      <c r="Q73" s="35">
        <f>$F$70*F73*$N$73</f>
        <v>0</v>
      </c>
      <c r="R73" s="35">
        <f>$F$70*G73*$N$73</f>
        <v>0</v>
      </c>
      <c r="S73" s="35">
        <f>$F$70*I73*$N$73</f>
        <v>0</v>
      </c>
    </row>
    <row r="74" spans="1:19" ht="12.75" customHeight="1" hidden="1">
      <c r="A74" s="3"/>
      <c r="B74" s="16">
        <v>39781</v>
      </c>
      <c r="C74" s="16">
        <v>40574</v>
      </c>
      <c r="D74" s="17">
        <v>0.025</v>
      </c>
      <c r="E74" s="17">
        <v>0.03</v>
      </c>
      <c r="F74" s="17">
        <v>0.03</v>
      </c>
      <c r="G74" s="17"/>
      <c r="I74" s="17"/>
      <c r="L74" s="32">
        <f>IF($B$70&lt;=C74,IF($B$70&lt;B74,B74,$B$70),0)</f>
        <v>0</v>
      </c>
      <c r="M74" s="32">
        <f>IF($C$70&gt;=B74,IF($C$70&gt;C74,C74,$C$70),0)</f>
        <v>40574</v>
      </c>
      <c r="N74" s="34">
        <f>IF(AND(B74&lt;=$H$14,$H$14&lt;=C74),1,0)</f>
        <v>0</v>
      </c>
      <c r="O74" s="35">
        <f>$F$70*D74*$N$74</f>
        <v>0</v>
      </c>
      <c r="P74" s="35">
        <f>$F$70*E74*$N$74</f>
        <v>0</v>
      </c>
      <c r="Q74" s="35">
        <f>$F$70*F74*$N$74</f>
        <v>0</v>
      </c>
      <c r="R74" s="35">
        <f>$F$70*G74*$N$74</f>
        <v>0</v>
      </c>
      <c r="S74" s="35">
        <f>$F$70*I74*$N$74</f>
        <v>0</v>
      </c>
    </row>
    <row r="75" spans="1:19" ht="12.75" customHeight="1" hidden="1">
      <c r="A75" s="3"/>
      <c r="B75" s="16">
        <v>40575</v>
      </c>
      <c r="C75" s="16">
        <v>42004</v>
      </c>
      <c r="D75" s="17">
        <v>0.03</v>
      </c>
      <c r="E75" s="17">
        <v>0.0375</v>
      </c>
      <c r="F75" s="17">
        <v>0.0375</v>
      </c>
      <c r="G75" s="17">
        <f>G36</f>
        <v>0.04285714285714286</v>
      </c>
      <c r="I75" s="17">
        <f>H36</f>
        <v>0.049999999999999996</v>
      </c>
      <c r="L75" s="32">
        <f>IF($B$70&lt;=C75,IF($B$70&lt;B75,B75,$B$70),0)</f>
        <v>0</v>
      </c>
      <c r="M75" s="32">
        <f>IF($C$70&gt;=B75,IF($C$70&gt;C75,C75,$C$70),0)</f>
        <v>42004</v>
      </c>
      <c r="N75" s="34">
        <f>IF(AND(B75&lt;=$H$14,$H$14&lt;=C75),1,0)</f>
        <v>0</v>
      </c>
      <c r="O75" s="35">
        <f>$F$70*D75*$N$75</f>
        <v>0</v>
      </c>
      <c r="P75" s="35">
        <f>$F$70*E75*$N$75</f>
        <v>0</v>
      </c>
      <c r="Q75" s="35">
        <f>$F$70*F75*$N$75</f>
        <v>0</v>
      </c>
      <c r="R75" s="35">
        <f>$F$70*G75*$N$75</f>
        <v>0</v>
      </c>
      <c r="S75" s="35">
        <f>$F$70*I75*$N$75</f>
        <v>0</v>
      </c>
    </row>
    <row r="76" spans="1:19" ht="12.75" customHeight="1" hidden="1">
      <c r="A76" s="3"/>
      <c r="B76" s="16">
        <v>42005</v>
      </c>
      <c r="C76" s="16">
        <v>42369</v>
      </c>
      <c r="D76" s="17">
        <v>0.03</v>
      </c>
      <c r="E76" s="17">
        <f>E37</f>
        <v>0.03333333333333333</v>
      </c>
      <c r="F76" s="17">
        <v>0.0375</v>
      </c>
      <c r="G76" s="17">
        <f>G37</f>
        <v>0.04285714285714286</v>
      </c>
      <c r="I76" s="17">
        <f>H37</f>
        <v>0.049999999999999996</v>
      </c>
      <c r="L76" s="32">
        <f>IF($B$70&lt;=C76,IF($B$70&lt;B76,B76,$B$70),0)</f>
        <v>0</v>
      </c>
      <c r="M76" s="32">
        <f>IF($C$70&gt;=B76,IF($C$70&gt;C76,C76,$C$70),0)</f>
        <v>42369</v>
      </c>
      <c r="N76" s="34">
        <f>IF(AND(B76&lt;=$H$14,$H$14&lt;=C76),1,0)</f>
        <v>0</v>
      </c>
      <c r="O76" s="35">
        <f>$F$70*D76*$N$76</f>
        <v>0</v>
      </c>
      <c r="P76" s="35">
        <f>$F$70*E76*$N$76</f>
        <v>0</v>
      </c>
      <c r="Q76" s="35">
        <f>$F$70*F76*$N$76</f>
        <v>0</v>
      </c>
      <c r="R76" s="35">
        <f>$F$70*G76*$N$76</f>
        <v>0</v>
      </c>
      <c r="S76" s="35">
        <f>$F$70*I76*$N$76</f>
        <v>0</v>
      </c>
    </row>
    <row r="77" spans="1:19" ht="12.75" customHeight="1" hidden="1">
      <c r="A77" s="3"/>
      <c r="B77" s="16">
        <v>42370</v>
      </c>
      <c r="C77" s="16">
        <v>44196</v>
      </c>
      <c r="D77" s="17">
        <f>3%/2</f>
        <v>0.015</v>
      </c>
      <c r="E77" s="17">
        <f>E38</f>
        <v>0.016666666666666666</v>
      </c>
      <c r="F77" s="17">
        <v>0.0375</v>
      </c>
      <c r="G77" s="17">
        <f>G38</f>
        <v>0.04285714285714286</v>
      </c>
      <c r="I77" s="17">
        <f>H38</f>
        <v>0.049999999999999996</v>
      </c>
      <c r="L77" s="32">
        <f>IF($B$70&lt;=C77,IF($B$70&lt;B77,B77,$B$70),0)</f>
        <v>43267</v>
      </c>
      <c r="M77" s="32">
        <f>IF($C$70&gt;=B77,IF($C$70&gt;C77,C77,$C$70),0)</f>
        <v>43463</v>
      </c>
      <c r="N77" s="34">
        <f>IF(AND(B77&lt;=$H$14,$H$14&lt;=C77),1,0)</f>
        <v>1</v>
      </c>
      <c r="O77" s="35">
        <f>$F$70*D77*$N$77</f>
        <v>15</v>
      </c>
      <c r="P77" s="35">
        <f>$F$70*E77*$N$77</f>
        <v>16.666666666666668</v>
      </c>
      <c r="Q77" s="35">
        <f>$F$70*F77*$N$77</f>
        <v>37.5</v>
      </c>
      <c r="R77" s="35">
        <f>$F$70*G77*$N$77</f>
        <v>42.857142857142854</v>
      </c>
      <c r="S77" s="35">
        <f>$F$70*I77*$N$77</f>
        <v>49.99999999999999</v>
      </c>
    </row>
    <row r="78" spans="1:19" ht="12.75" customHeight="1" hidden="1">
      <c r="A78" s="3"/>
      <c r="B78" s="34"/>
      <c r="C78" s="34"/>
      <c r="D78" s="33"/>
      <c r="E78" s="33"/>
      <c r="F78" s="34"/>
      <c r="L78" s="34"/>
      <c r="M78" s="34"/>
      <c r="N78" s="34"/>
      <c r="O78" s="34"/>
      <c r="P78" s="34"/>
      <c r="Q78" s="34"/>
      <c r="R78" s="34"/>
      <c r="S78" s="34"/>
    </row>
    <row r="79" spans="1:19" ht="12.75" customHeight="1" hidden="1">
      <c r="A79" s="3"/>
      <c r="B79" s="34"/>
      <c r="C79" s="34"/>
      <c r="D79" s="34"/>
      <c r="E79" s="34"/>
      <c r="F79" s="34"/>
      <c r="L79" s="34"/>
      <c r="M79" s="36" t="s">
        <v>18</v>
      </c>
      <c r="N79" s="37">
        <f aca="true" t="shared" si="3" ref="N79:S79">SUM(N73:N77)</f>
        <v>1</v>
      </c>
      <c r="O79" s="38">
        <f t="shared" si="3"/>
        <v>15</v>
      </c>
      <c r="P79" s="38">
        <f t="shared" si="3"/>
        <v>16.666666666666668</v>
      </c>
      <c r="Q79" s="38">
        <f t="shared" si="3"/>
        <v>37.5</v>
      </c>
      <c r="R79" s="38">
        <f t="shared" si="3"/>
        <v>42.857142857142854</v>
      </c>
      <c r="S79" s="38">
        <f t="shared" si="3"/>
        <v>49.99999999999999</v>
      </c>
    </row>
    <row r="80" spans="1:19" ht="12.75" customHeight="1" hidden="1">
      <c r="A80" s="3"/>
      <c r="B80" s="9"/>
      <c r="C80" s="9"/>
      <c r="D80" s="9"/>
      <c r="E80" s="9"/>
      <c r="F80" s="9"/>
      <c r="G80" s="9"/>
      <c r="H80" s="9"/>
      <c r="I80" s="9"/>
      <c r="J80" s="3"/>
      <c r="K80" s="3"/>
      <c r="O80" s="52">
        <f>IF($H$25&lt;31,O79,P80)</f>
        <v>37.5</v>
      </c>
      <c r="P80" s="52">
        <f>IF($H$25&lt;90,P79,Q80)</f>
        <v>37.5</v>
      </c>
      <c r="Q80" s="52">
        <f>IF(AND($H$25&gt;90,$D$23="X"),Q79,R80)</f>
        <v>37.5</v>
      </c>
      <c r="R80" s="52">
        <f>IF(AND($H$25&gt;90,$G$23="X"),R79,S80)</f>
        <v>0</v>
      </c>
      <c r="S80" s="52">
        <f>IF(AND($H$25&gt;90,$I$23="X"),S79,T80)</f>
        <v>0</v>
      </c>
    </row>
    <row r="81" spans="1:11" ht="12.75" customHeight="1" hidden="1">
      <c r="A81" s="3"/>
      <c r="B81" s="23" t="s">
        <v>7</v>
      </c>
      <c r="C81" s="23" t="s">
        <v>8</v>
      </c>
      <c r="D81" s="23"/>
      <c r="E81" s="23"/>
      <c r="F81" s="23" t="s">
        <v>9</v>
      </c>
      <c r="G81" s="23"/>
      <c r="H81" s="9"/>
      <c r="I81" s="9"/>
      <c r="J81" s="3"/>
      <c r="K81" s="3"/>
    </row>
    <row r="82" spans="1:11" ht="12.75" customHeight="1" hidden="1">
      <c r="A82" s="3"/>
      <c r="B82" s="24">
        <f>H14</f>
        <v>43267</v>
      </c>
      <c r="C82" s="24">
        <f>H16</f>
        <v>43463</v>
      </c>
      <c r="D82" s="24"/>
      <c r="E82" s="24"/>
      <c r="F82" s="25">
        <f>H18</f>
        <v>1000</v>
      </c>
      <c r="G82" s="26"/>
      <c r="H82" s="9"/>
      <c r="I82" s="9"/>
      <c r="J82" s="3"/>
      <c r="K82" s="3"/>
    </row>
    <row r="83" spans="1:11" ht="12.75" customHeight="1" hidden="1">
      <c r="A83" s="3"/>
      <c r="B83" s="9"/>
      <c r="C83" s="9"/>
      <c r="D83" s="27"/>
      <c r="E83" s="27"/>
      <c r="F83" s="23" t="s">
        <v>10</v>
      </c>
      <c r="G83" s="28"/>
      <c r="H83" s="9"/>
      <c r="I83" s="9"/>
      <c r="J83" s="3"/>
      <c r="K83" s="3"/>
    </row>
    <row r="84" spans="1:11" ht="12.75" customHeight="1" hidden="1">
      <c r="A84" s="3"/>
      <c r="B84" s="29"/>
      <c r="C84" s="30" t="s">
        <v>11</v>
      </c>
      <c r="D84" s="29"/>
      <c r="E84" s="29"/>
      <c r="F84" s="31">
        <f>F82+J104</f>
        <v>1001.6109589041096</v>
      </c>
      <c r="G84" s="3"/>
      <c r="H84" s="9"/>
      <c r="I84" s="9"/>
      <c r="J84" s="3"/>
      <c r="K84" s="3"/>
    </row>
    <row r="85" spans="1:11" ht="12.75" customHeight="1" hidden="1">
      <c r="A85" s="3"/>
      <c r="B85" s="23" t="s">
        <v>7</v>
      </c>
      <c r="C85" s="23" t="s">
        <v>8</v>
      </c>
      <c r="D85" s="23" t="s">
        <v>12</v>
      </c>
      <c r="E85" s="23"/>
      <c r="F85" s="23" t="s">
        <v>13</v>
      </c>
      <c r="G85" s="23" t="s">
        <v>14</v>
      </c>
      <c r="H85" s="23" t="s">
        <v>15</v>
      </c>
      <c r="I85" s="23" t="s">
        <v>16</v>
      </c>
      <c r="J85" s="23" t="s">
        <v>17</v>
      </c>
      <c r="K85" s="3"/>
    </row>
    <row r="86" spans="1:11" ht="12.75" customHeight="1" hidden="1">
      <c r="A86" s="3"/>
      <c r="B86" s="16">
        <v>36161</v>
      </c>
      <c r="C86" s="16">
        <v>36525</v>
      </c>
      <c r="D86" s="33">
        <v>365</v>
      </c>
      <c r="E86" s="33"/>
      <c r="F86" s="19">
        <v>0.025</v>
      </c>
      <c r="G86" s="32">
        <f>IF($B$82&lt;=C86,IF($B$82&lt;B86,B86,$B$82),0)</f>
        <v>0</v>
      </c>
      <c r="H86" s="32">
        <f>IF($C$82&gt;=B86,IF($C$82&gt;C86,C86,$C$82),0)</f>
        <v>36525</v>
      </c>
      <c r="I86" s="34">
        <f>IF(AND(H86&gt;0,G86&gt;0),H86-G86,0)</f>
        <v>0</v>
      </c>
      <c r="J86" s="35">
        <f>$F$82*F86*(I86/365)</f>
        <v>0</v>
      </c>
      <c r="K86" s="3"/>
    </row>
    <row r="87" spans="1:11" ht="12.75" customHeight="1" hidden="1">
      <c r="A87" s="3"/>
      <c r="B87" s="16">
        <v>36526</v>
      </c>
      <c r="C87" s="16">
        <v>36891</v>
      </c>
      <c r="D87" s="33">
        <v>366</v>
      </c>
      <c r="E87" s="33"/>
      <c r="F87" s="19">
        <v>0.025</v>
      </c>
      <c r="G87" s="32">
        <f>IF($B$82&lt;=C87,IF($B$82&lt;B87,B87,$B$82),0)</f>
        <v>0</v>
      </c>
      <c r="H87" s="32">
        <f>IF($C$82&gt;=B87,IF($C$82&gt;C87,C87,$C$82),0)</f>
        <v>36891</v>
      </c>
      <c r="I87" s="34">
        <f aca="true" t="shared" si="4" ref="I87:I103">IF(AND(H87&gt;0,G87&gt;0),H87-G87,0)</f>
        <v>0</v>
      </c>
      <c r="J87" s="35">
        <f>$F$82*F87*(I87/366)</f>
        <v>0</v>
      </c>
      <c r="K87" s="3"/>
    </row>
    <row r="88" spans="1:11" ht="12.75" customHeight="1" hidden="1">
      <c r="A88" s="3"/>
      <c r="B88" s="16">
        <v>36892</v>
      </c>
      <c r="C88" s="16">
        <f>B89-1</f>
        <v>37256</v>
      </c>
      <c r="D88" s="33">
        <v>365</v>
      </c>
      <c r="E88" s="33"/>
      <c r="F88" s="19">
        <v>0.035</v>
      </c>
      <c r="G88" s="32">
        <f aca="true" t="shared" si="5" ref="G88:G94">IF($B$82&lt;=C88,IF($B$82&lt;B88,B88,$B$82),0)</f>
        <v>0</v>
      </c>
      <c r="H88" s="32">
        <f aca="true" t="shared" si="6" ref="H88:H94">IF($C$82&gt;=B88,IF($C$82&gt;C88,C88,$C$82),0)</f>
        <v>37256</v>
      </c>
      <c r="I88" s="34">
        <f t="shared" si="4"/>
        <v>0</v>
      </c>
      <c r="J88" s="35">
        <f>$F$82*F88*(I88/365)</f>
        <v>0</v>
      </c>
      <c r="K88" s="3"/>
    </row>
    <row r="89" spans="1:11" ht="12.75" customHeight="1" hidden="1">
      <c r="A89" s="3"/>
      <c r="B89" s="16">
        <v>37257</v>
      </c>
      <c r="C89" s="16">
        <f>B90-1</f>
        <v>37986</v>
      </c>
      <c r="D89" s="33">
        <v>365</v>
      </c>
      <c r="E89" s="33"/>
      <c r="F89" s="19">
        <v>0.03</v>
      </c>
      <c r="G89" s="32">
        <f t="shared" si="5"/>
        <v>0</v>
      </c>
      <c r="H89" s="32">
        <f t="shared" si="6"/>
        <v>37986</v>
      </c>
      <c r="I89" s="34">
        <f t="shared" si="4"/>
        <v>0</v>
      </c>
      <c r="J89" s="35">
        <f>$F$82*F89*(I89/365)</f>
        <v>0</v>
      </c>
      <c r="K89" s="3"/>
    </row>
    <row r="90" spans="1:11" ht="12.75" customHeight="1" hidden="1">
      <c r="A90" s="3"/>
      <c r="B90" s="16">
        <v>37987</v>
      </c>
      <c r="C90" s="16">
        <v>38352</v>
      </c>
      <c r="D90" s="33">
        <v>366</v>
      </c>
      <c r="E90" s="33"/>
      <c r="F90" s="19">
        <v>0.025</v>
      </c>
      <c r="G90" s="32">
        <f t="shared" si="5"/>
        <v>0</v>
      </c>
      <c r="H90" s="32">
        <f t="shared" si="6"/>
        <v>38352</v>
      </c>
      <c r="I90" s="34">
        <f t="shared" si="4"/>
        <v>0</v>
      </c>
      <c r="J90" s="35">
        <f>$F$82*F90*(I90/366)</f>
        <v>0</v>
      </c>
      <c r="K90" s="3"/>
    </row>
    <row r="91" spans="1:11" ht="12.75" customHeight="1" hidden="1">
      <c r="A91" s="3"/>
      <c r="B91" s="16">
        <v>38353</v>
      </c>
      <c r="C91" s="16">
        <v>39447</v>
      </c>
      <c r="D91" s="33">
        <v>365</v>
      </c>
      <c r="E91" s="33"/>
      <c r="F91" s="19">
        <v>0.025</v>
      </c>
      <c r="G91" s="32">
        <f>IF($B$82&lt;=C91,IF($B$82&lt;B91,B91,$B$82),0)</f>
        <v>0</v>
      </c>
      <c r="H91" s="32">
        <f>IF($C$82&gt;=B91,IF($C$82&gt;C91,C91,$C$82),0)</f>
        <v>39447</v>
      </c>
      <c r="I91" s="34">
        <f t="shared" si="4"/>
        <v>0</v>
      </c>
      <c r="J91" s="35">
        <f>$F$82*F91*(I91/365)</f>
        <v>0</v>
      </c>
      <c r="K91" s="3"/>
    </row>
    <row r="92" spans="1:11" ht="12.75" customHeight="1" hidden="1">
      <c r="A92" s="3"/>
      <c r="B92" s="16">
        <v>39448</v>
      </c>
      <c r="C92" s="16">
        <v>39813</v>
      </c>
      <c r="D92" s="33">
        <v>366</v>
      </c>
      <c r="E92" s="33"/>
      <c r="F92" s="19">
        <v>0.03</v>
      </c>
      <c r="G92" s="32">
        <f t="shared" si="5"/>
        <v>0</v>
      </c>
      <c r="H92" s="32">
        <f t="shared" si="6"/>
        <v>39813</v>
      </c>
      <c r="I92" s="34">
        <f t="shared" si="4"/>
        <v>0</v>
      </c>
      <c r="J92" s="35">
        <f>$F$82*F92*(I92/366)</f>
        <v>0</v>
      </c>
      <c r="K92" s="3"/>
    </row>
    <row r="93" spans="1:11" ht="12.75" customHeight="1" hidden="1">
      <c r="A93" s="3"/>
      <c r="B93" s="16">
        <v>39814</v>
      </c>
      <c r="C93" s="16">
        <v>40178</v>
      </c>
      <c r="D93" s="33">
        <v>365</v>
      </c>
      <c r="E93" s="33"/>
      <c r="F93" s="19">
        <v>0.03</v>
      </c>
      <c r="G93" s="32">
        <f>IF($B$82&lt;=C93,IF($B$82&lt;B93,B93,$B$82),0)</f>
        <v>0</v>
      </c>
      <c r="H93" s="32">
        <f>IF($C$82&gt;=B93,IF($C$82&gt;C93,C93,$C$82),0)</f>
        <v>40178</v>
      </c>
      <c r="I93" s="34">
        <f t="shared" si="4"/>
        <v>0</v>
      </c>
      <c r="J93" s="35">
        <f>$F$82*F93*(I93/365)</f>
        <v>0</v>
      </c>
      <c r="K93" s="3"/>
    </row>
    <row r="94" spans="1:11" ht="12.75" customHeight="1" hidden="1">
      <c r="A94" s="3"/>
      <c r="B94" s="16">
        <v>40179</v>
      </c>
      <c r="C94" s="16">
        <v>40543</v>
      </c>
      <c r="D94" s="33">
        <v>365</v>
      </c>
      <c r="E94" s="33"/>
      <c r="F94" s="19">
        <v>0.01</v>
      </c>
      <c r="G94" s="32">
        <f t="shared" si="5"/>
        <v>0</v>
      </c>
      <c r="H94" s="32">
        <f t="shared" si="6"/>
        <v>40543</v>
      </c>
      <c r="I94" s="34">
        <f t="shared" si="4"/>
        <v>0</v>
      </c>
      <c r="J94" s="35">
        <f>$F$82*F94*(I94/365)</f>
        <v>0</v>
      </c>
      <c r="K94" s="3"/>
    </row>
    <row r="95" spans="1:11" ht="12.75" customHeight="1" hidden="1">
      <c r="A95" s="3"/>
      <c r="B95" s="16">
        <v>40544</v>
      </c>
      <c r="C95" s="16">
        <v>40908</v>
      </c>
      <c r="D95" s="33">
        <v>365</v>
      </c>
      <c r="E95" s="33"/>
      <c r="F95" s="19">
        <v>0.015</v>
      </c>
      <c r="G95" s="32">
        <f aca="true" t="shared" si="7" ref="G95:G102">IF($B$82&lt;=C95,IF($B$82&lt;B95,B95,$B$82),0)</f>
        <v>0</v>
      </c>
      <c r="H95" s="32">
        <f aca="true" t="shared" si="8" ref="H95:H101">IF($C$82&gt;=B95,IF($C$82&gt;C95,C95,$C$82),0)</f>
        <v>40908</v>
      </c>
      <c r="I95" s="34">
        <f t="shared" si="4"/>
        <v>0</v>
      </c>
      <c r="J95" s="35">
        <f>$F$82*F95*(I95/365)</f>
        <v>0</v>
      </c>
      <c r="K95" s="3"/>
    </row>
    <row r="96" spans="1:11" ht="12.75" customHeight="1" hidden="1">
      <c r="A96" s="3"/>
      <c r="B96" s="16">
        <v>40909</v>
      </c>
      <c r="C96" s="16">
        <v>41274</v>
      </c>
      <c r="D96" s="33">
        <v>366</v>
      </c>
      <c r="E96" s="33"/>
      <c r="F96" s="19">
        <v>0.025</v>
      </c>
      <c r="G96" s="32">
        <f t="shared" si="7"/>
        <v>0</v>
      </c>
      <c r="H96" s="32">
        <f t="shared" si="8"/>
        <v>41274</v>
      </c>
      <c r="I96" s="34">
        <f t="shared" si="4"/>
        <v>0</v>
      </c>
      <c r="J96" s="35">
        <f>$F$82*F96*(I96/366)</f>
        <v>0</v>
      </c>
      <c r="K96" s="3"/>
    </row>
    <row r="97" spans="1:11" ht="12.75" customHeight="1" hidden="1">
      <c r="A97" s="3"/>
      <c r="B97" s="16">
        <v>41275</v>
      </c>
      <c r="C97" s="16">
        <v>41639</v>
      </c>
      <c r="D97" s="33">
        <v>365</v>
      </c>
      <c r="E97" s="33"/>
      <c r="F97" s="19">
        <v>0.025</v>
      </c>
      <c r="G97" s="32">
        <f t="shared" si="7"/>
        <v>0</v>
      </c>
      <c r="H97" s="32">
        <f t="shared" si="8"/>
        <v>41639</v>
      </c>
      <c r="I97" s="34">
        <f t="shared" si="4"/>
        <v>0</v>
      </c>
      <c r="J97" s="35">
        <f>$F$82*F97*(I97/365)</f>
        <v>0</v>
      </c>
      <c r="K97" s="3"/>
    </row>
    <row r="98" spans="1:11" ht="12.75" customHeight="1" hidden="1">
      <c r="A98" s="3"/>
      <c r="B98" s="16">
        <v>41640</v>
      </c>
      <c r="C98" s="16">
        <v>42004</v>
      </c>
      <c r="D98" s="33">
        <v>365</v>
      </c>
      <c r="E98" s="33"/>
      <c r="F98" s="19">
        <v>0.01</v>
      </c>
      <c r="G98" s="32">
        <f t="shared" si="7"/>
        <v>0</v>
      </c>
      <c r="H98" s="32">
        <f t="shared" si="8"/>
        <v>42004</v>
      </c>
      <c r="I98" s="34">
        <f t="shared" si="4"/>
        <v>0</v>
      </c>
      <c r="J98" s="35">
        <f>$F$82*F98*(I98/365)</f>
        <v>0</v>
      </c>
      <c r="K98" s="3"/>
    </row>
    <row r="99" spans="1:11" ht="12.75" customHeight="1" hidden="1">
      <c r="A99" s="3"/>
      <c r="B99" s="16">
        <v>42005</v>
      </c>
      <c r="C99" s="16">
        <v>42369</v>
      </c>
      <c r="D99" s="33">
        <v>365</v>
      </c>
      <c r="E99" s="33"/>
      <c r="F99" s="19">
        <v>0.005</v>
      </c>
      <c r="G99" s="32">
        <f t="shared" si="7"/>
        <v>0</v>
      </c>
      <c r="H99" s="32">
        <f t="shared" si="8"/>
        <v>42369</v>
      </c>
      <c r="I99" s="34">
        <f t="shared" si="4"/>
        <v>0</v>
      </c>
      <c r="J99" s="35">
        <f>$F$82*F99*(I99/365)</f>
        <v>0</v>
      </c>
      <c r="K99" s="3"/>
    </row>
    <row r="100" spans="1:11" ht="12.75" customHeight="1" hidden="1">
      <c r="A100" s="3"/>
      <c r="B100" s="16">
        <v>42370</v>
      </c>
      <c r="C100" s="16">
        <v>42735</v>
      </c>
      <c r="D100" s="33">
        <v>366</v>
      </c>
      <c r="E100" s="33"/>
      <c r="F100" s="19">
        <v>0.002</v>
      </c>
      <c r="G100" s="32">
        <f t="shared" si="7"/>
        <v>0</v>
      </c>
      <c r="H100" s="32">
        <f>IF($C$82&gt;=B100,IF($C$82&gt;C100,C100,$C$82),0)</f>
        <v>42735</v>
      </c>
      <c r="I100" s="34">
        <f t="shared" si="4"/>
        <v>0</v>
      </c>
      <c r="J100" s="35">
        <f>$F$82*F100*(I100/366)</f>
        <v>0</v>
      </c>
      <c r="K100" s="3"/>
    </row>
    <row r="101" spans="1:11" ht="12.75" customHeight="1" hidden="1">
      <c r="A101" s="3"/>
      <c r="B101" s="16">
        <v>42736</v>
      </c>
      <c r="C101" s="16">
        <v>43100</v>
      </c>
      <c r="D101" s="33">
        <v>365</v>
      </c>
      <c r="E101" s="33"/>
      <c r="F101" s="19">
        <v>0.001</v>
      </c>
      <c r="G101" s="32">
        <f t="shared" si="7"/>
        <v>0</v>
      </c>
      <c r="H101" s="32">
        <f t="shared" si="8"/>
        <v>43100</v>
      </c>
      <c r="I101" s="34">
        <f t="shared" si="4"/>
        <v>0</v>
      </c>
      <c r="J101" s="35">
        <f>$F$82*F101*(I101/365)</f>
        <v>0</v>
      </c>
      <c r="K101" s="3"/>
    </row>
    <row r="102" spans="1:11" ht="12.75" customHeight="1" hidden="1">
      <c r="A102" s="3"/>
      <c r="B102" s="16">
        <v>43101</v>
      </c>
      <c r="C102" s="16">
        <v>43465</v>
      </c>
      <c r="D102" s="33">
        <v>365</v>
      </c>
      <c r="E102" s="33"/>
      <c r="F102" s="19">
        <v>0.003</v>
      </c>
      <c r="G102" s="32">
        <f t="shared" si="7"/>
        <v>43267</v>
      </c>
      <c r="H102" s="32">
        <f>IF($C$82&gt;=B102,IF($C$82&gt;C102,C102,$C$82),0)</f>
        <v>43463</v>
      </c>
      <c r="I102" s="34">
        <f t="shared" si="4"/>
        <v>196</v>
      </c>
      <c r="J102" s="35">
        <f>$F$82*F102*(I102/365)</f>
        <v>1.610958904109589</v>
      </c>
      <c r="K102" s="3"/>
    </row>
    <row r="103" spans="1:11" ht="12.75" customHeight="1" hidden="1">
      <c r="A103" s="3"/>
      <c r="B103" s="16">
        <v>43466</v>
      </c>
      <c r="C103" s="16">
        <v>43830</v>
      </c>
      <c r="D103" s="33">
        <v>365</v>
      </c>
      <c r="E103" s="33"/>
      <c r="F103" s="19">
        <v>0.008</v>
      </c>
      <c r="G103" s="32">
        <f>IF($B$82&lt;=C103,IF($B$82&lt;B103,B103,$B$82),0)</f>
        <v>43466</v>
      </c>
      <c r="H103" s="32">
        <f>IF($C$82&gt;=B103,IF($C$82&gt;C103,C103,$C$82),0)</f>
        <v>0</v>
      </c>
      <c r="I103" s="34">
        <f t="shared" si="4"/>
        <v>0</v>
      </c>
      <c r="J103" s="35">
        <f>$F$82*F103*(I103/365)</f>
        <v>0</v>
      </c>
      <c r="K103" s="3"/>
    </row>
    <row r="104" spans="1:11" ht="12.75" customHeight="1" hidden="1">
      <c r="A104" s="3"/>
      <c r="B104" s="34"/>
      <c r="C104" s="34"/>
      <c r="D104" s="34"/>
      <c r="E104" s="34"/>
      <c r="F104" s="34"/>
      <c r="G104" s="34"/>
      <c r="H104" s="36" t="s">
        <v>18</v>
      </c>
      <c r="I104" s="37">
        <f>SUM(I86:I103)</f>
        <v>196</v>
      </c>
      <c r="J104" s="38">
        <f>SUM(J86:J103)</f>
        <v>1.610958904109589</v>
      </c>
      <c r="K104" s="3"/>
    </row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>
      <c r="E113">
        <f>1000*0.3/100*8/365</f>
        <v>0.06575342465753424</v>
      </c>
    </row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/>
  </sheetData>
  <sheetProtection password="D570" sheet="1"/>
  <mergeCells count="31">
    <mergeCell ref="H38:I38"/>
    <mergeCell ref="B27:D27"/>
    <mergeCell ref="B40:D40"/>
    <mergeCell ref="A3:K3"/>
    <mergeCell ref="H30:I30"/>
    <mergeCell ref="H29:I29"/>
    <mergeCell ref="H28:I28"/>
    <mergeCell ref="B24:G24"/>
    <mergeCell ref="H37:I37"/>
    <mergeCell ref="H27:I27"/>
    <mergeCell ref="H35:I35"/>
    <mergeCell ref="H16:I16"/>
    <mergeCell ref="A2:K2"/>
    <mergeCell ref="H33:I33"/>
    <mergeCell ref="A1:K1"/>
    <mergeCell ref="B30:G30"/>
    <mergeCell ref="B12:G12"/>
    <mergeCell ref="B25:G25"/>
    <mergeCell ref="B20:G20"/>
    <mergeCell ref="B32:I32"/>
    <mergeCell ref="H12:I12"/>
    <mergeCell ref="B29:D29"/>
    <mergeCell ref="H36:I36"/>
    <mergeCell ref="B18:G18"/>
    <mergeCell ref="H25:I25"/>
    <mergeCell ref="B14:G14"/>
    <mergeCell ref="B16:G16"/>
    <mergeCell ref="H18:I18"/>
    <mergeCell ref="H14:I14"/>
    <mergeCell ref="H34:I34"/>
    <mergeCell ref="B28:D2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Utente di Microsoft Office</cp:lastModifiedBy>
  <cp:lastPrinted>2017-12-30T11:01:23Z</cp:lastPrinted>
  <dcterms:created xsi:type="dcterms:W3CDTF">2012-02-19T19:05:08Z</dcterms:created>
  <dcterms:modified xsi:type="dcterms:W3CDTF">2018-12-29T11:42:36Z</dcterms:modified>
  <cp:category/>
  <cp:version/>
  <cp:contentType/>
  <cp:contentStatus/>
</cp:coreProperties>
</file>