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240" activeTab="0"/>
  </bookViews>
  <sheets>
    <sheet name="Compenso Fallimenti 2012" sheetId="1" r:id="rId1"/>
  </sheets>
  <definedNames>
    <definedName name="_xlnm.Print_Area" localSheetId="0">'Compenso Fallimenti 2012'!$A$1:$G$47</definedName>
  </definedNames>
  <calcPr fullCalcOnLoad="1"/>
</workbook>
</file>

<file path=xl/sharedStrings.xml><?xml version="1.0" encoding="utf-8"?>
<sst xmlns="http://schemas.openxmlformats.org/spreadsheetml/2006/main" count="44" uniqueCount="34">
  <si>
    <t>Minimo</t>
  </si>
  <si>
    <t>Massimo</t>
  </si>
  <si>
    <t>fino ad €. 16,227,08</t>
  </si>
  <si>
    <t>da €. 16.227,08 ad €. 24,340,62</t>
  </si>
  <si>
    <t>da €. 24.340,62 ad €. 40.567,68</t>
  </si>
  <si>
    <t>da €. 40.567,68,84 ad €. 81.135,38</t>
  </si>
  <si>
    <t>da €. 81.135,38 ad €. 405.676,89</t>
  </si>
  <si>
    <t>da €. 405.676,89 ad €. 811.353,79</t>
  </si>
  <si>
    <t>da €. 811.353,79 ad €. 2.434.061,37</t>
  </si>
  <si>
    <t>sup. ad €. 2.434.061,37</t>
  </si>
  <si>
    <t>fino ad €. 81.131,38</t>
  </si>
  <si>
    <t>sup. ad €. 81.131,38</t>
  </si>
  <si>
    <r>
      <t>(</t>
    </r>
    <r>
      <rPr>
        <i/>
        <sz val="10"/>
        <color indexed="18"/>
        <rFont val="Arial"/>
        <family val="2"/>
      </rPr>
      <t>Decreto Ministero della Giustizia 25 gennaio 2012, n. 30</t>
    </r>
    <r>
      <rPr>
        <sz val="10"/>
        <color indexed="18"/>
        <rFont val="Arial"/>
        <family val="2"/>
      </rPr>
      <t>, in G.</t>
    </r>
    <r>
      <rPr>
        <i/>
        <sz val="10"/>
        <color indexed="18"/>
        <rFont val="Arial"/>
        <family val="2"/>
      </rPr>
      <t xml:space="preserve">U. n. 72 del 26 marzo 2012; </t>
    </r>
    <r>
      <rPr>
        <b/>
        <i/>
        <sz val="10"/>
        <color indexed="18"/>
        <rFont val="Arial"/>
        <family val="2"/>
      </rPr>
      <t>in vigore dal 27 marzo 2012</t>
    </r>
    <r>
      <rPr>
        <sz val="10"/>
        <color indexed="18"/>
        <rFont val="Arial"/>
        <family val="2"/>
      </rPr>
      <t>)</t>
    </r>
  </si>
  <si>
    <r>
      <t>Compenso totale sull'ATTIVO</t>
    </r>
    <r>
      <rPr>
        <b/>
        <sz val="11"/>
        <color indexed="18"/>
        <rFont val="Arial"/>
        <family val="2"/>
      </rPr>
      <t xml:space="preserve"> (art. 1.1)</t>
    </r>
  </si>
  <si>
    <r>
      <t>Compenso totale sul PASSIVO</t>
    </r>
    <r>
      <rPr>
        <b/>
        <sz val="11"/>
        <color indexed="18"/>
        <rFont val="Arial"/>
        <family val="2"/>
      </rPr>
      <t xml:space="preserve"> (art. 1.2)</t>
    </r>
  </si>
  <si>
    <t>Ricavi Lordi in esercizio provvisorio</t>
  </si>
  <si>
    <t>Utili Netti in esercizio provvisorio</t>
  </si>
  <si>
    <t>% Min.</t>
  </si>
  <si>
    <t>% Max.</t>
  </si>
  <si>
    <r>
      <t>Compenso totale Esercizio Provvisorio</t>
    </r>
    <r>
      <rPr>
        <b/>
        <sz val="11"/>
        <color indexed="18"/>
        <rFont val="Arial"/>
        <family val="2"/>
      </rPr>
      <t xml:space="preserve"> (art. 3)</t>
    </r>
  </si>
  <si>
    <r>
      <t xml:space="preserve">a)  ATTIVO </t>
    </r>
    <r>
      <rPr>
        <b/>
        <sz val="10"/>
        <color indexed="8"/>
        <rFont val="Arial"/>
        <family val="2"/>
      </rPr>
      <t>per scaglioni   =</t>
    </r>
  </si>
  <si>
    <r>
      <t xml:space="preserve">b)  PASSIVO </t>
    </r>
    <r>
      <rPr>
        <b/>
        <sz val="10"/>
        <color indexed="8"/>
        <rFont val="Arial"/>
        <family val="2"/>
      </rPr>
      <t>per scaglioni   =</t>
    </r>
  </si>
  <si>
    <r>
      <t>c)  E</t>
    </r>
    <r>
      <rPr>
        <b/>
        <sz val="12"/>
        <color indexed="8"/>
        <rFont val="Arial"/>
        <family val="2"/>
      </rPr>
      <t xml:space="preserve">sercizio </t>
    </r>
    <r>
      <rPr>
        <b/>
        <sz val="14"/>
        <color indexed="8"/>
        <rFont val="Arial"/>
        <family val="2"/>
      </rPr>
      <t>P</t>
    </r>
    <r>
      <rPr>
        <b/>
        <sz val="12"/>
        <color indexed="8"/>
        <rFont val="Arial"/>
        <family val="2"/>
      </rPr>
      <t>rovvisorio:</t>
    </r>
  </si>
  <si>
    <r>
      <t>Rimborso forfettario spese  =  5%</t>
    </r>
    <r>
      <rPr>
        <b/>
        <sz val="10"/>
        <color indexed="18"/>
        <rFont val="Arial"/>
        <family val="2"/>
      </rPr>
      <t xml:space="preserve"> (art. 4.2)</t>
    </r>
  </si>
  <si>
    <t>TOTALE COMPENSO COMPLESSIVO</t>
  </si>
  <si>
    <t>a cura di Piergiorgio Ripa - dottore commercialista  -  www.studioripa.it</t>
  </si>
  <si>
    <t>(piergiorgio.ripa@studioripa.it)</t>
  </si>
  <si>
    <t xml:space="preserve">     Inserire nelle celle di colore giallo con caratteri di colore rosso, i dati di Input richiesti (Attivo, Passivo, dati esercizio provvisorio)</t>
  </si>
  <si>
    <t>TOTALE COMPENSO   a)  +  b)  +  c)</t>
  </si>
  <si>
    <t>(1)</t>
  </si>
  <si>
    <r>
      <t xml:space="preserve">(1) "Il compenso … </t>
    </r>
    <r>
      <rPr>
        <b/>
        <i/>
        <sz val="9"/>
        <color indexed="8"/>
        <rFont val="Arial"/>
        <family val="2"/>
      </rPr>
      <t xml:space="preserve">non </t>
    </r>
    <r>
      <rPr>
        <i/>
        <sz val="9"/>
        <color indexed="8"/>
        <rFont val="Arial"/>
        <family val="2"/>
      </rPr>
      <t xml:space="preserve">può essere </t>
    </r>
    <r>
      <rPr>
        <b/>
        <i/>
        <sz val="9"/>
        <color indexed="8"/>
        <rFont val="Arial"/>
        <family val="2"/>
      </rPr>
      <t>inferiore</t>
    </r>
    <r>
      <rPr>
        <i/>
        <sz val="9"/>
        <color indexed="8"/>
        <rFont val="Arial"/>
        <family val="2"/>
      </rPr>
      <t xml:space="preserve">, nel suo complesso a </t>
    </r>
    <r>
      <rPr>
        <b/>
        <i/>
        <sz val="9"/>
        <color indexed="8"/>
        <rFont val="Arial"/>
        <family val="2"/>
      </rPr>
      <t>811,35 euro</t>
    </r>
    <r>
      <rPr>
        <i/>
        <sz val="9"/>
        <color indexed="8"/>
        <rFont val="Arial"/>
        <family val="2"/>
      </rPr>
      <t>" (art. 4.1)</t>
    </r>
  </si>
  <si>
    <t>(2)</t>
  </si>
  <si>
    <t>(2) "Al curatore spetta, inoltre, … il rimborso delle spese vive effettivamente sostenute ed autorizzate dal giudice delegato, documentalmente provate, escluso qualsiasi altro compenso o indennità. Nel caso di trasferimento fuori dalla residenza spetta il trattamento economico di missione previsto per gli impiegati civili dello Stato con qualifica di primo dirigente" (art. 4.2)</t>
  </si>
  <si>
    <t>DETERMINAZIONE COMPENSI SPETTANTI AI CURATORI FALLIMENTARI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</si>
</sst>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0"/>
    <numFmt numFmtId="180" formatCode="0.000"/>
    <numFmt numFmtId="181" formatCode="0.000%"/>
    <numFmt numFmtId="182" formatCode="0.0000%"/>
    <numFmt numFmtId="183" formatCode="0.00000%"/>
    <numFmt numFmtId="184" formatCode="0.0%"/>
    <numFmt numFmtId="185" formatCode="_-[$€-2]\ * #,##0.00_-;\-[$€-2]\ * #,##0.00_-;_-[$€-2]\ * &quot;-&quot;??_-"/>
    <numFmt numFmtId="186" formatCode="_-[$€-2]\ * #,##0.00_-;\-[$€-2]\ * #,##0.00_-;_-[$€-2]\ * &quot;-&quot;??_-;_-@_-"/>
    <numFmt numFmtId="187" formatCode="_-* #,##0.00_-;\-* #,##0.00_-;_-* &quot;-&quot;_-;_-@_-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0"/>
      <color indexed="18"/>
      <name val="Arial"/>
      <family val="2"/>
    </font>
    <font>
      <b/>
      <sz val="13.6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sz val="12"/>
      <color indexed="18"/>
      <name val="Arial"/>
      <family val="2"/>
    </font>
    <font>
      <sz val="1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18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" applyNumberFormat="0" applyAlignment="0" applyProtection="0"/>
    <xf numFmtId="185" fontId="0" fillId="0" borderId="0" applyFont="0" applyFill="0" applyBorder="0" applyAlignment="0" applyProtection="0"/>
    <xf numFmtId="0" fontId="51" fillId="28" borderId="1" applyNumberFormat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34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12" fillId="35" borderId="1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10" xfId="0" applyFont="1" applyBorder="1" applyAlignment="1" applyProtection="1">
      <alignment vertical="center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5" fillId="35" borderId="10" xfId="0" applyFont="1" applyFill="1" applyBorder="1" applyAlignment="1" applyProtection="1">
      <alignment horizontal="left" vertical="center"/>
      <protection hidden="1"/>
    </xf>
    <xf numFmtId="4" fontId="19" fillId="0" borderId="10" xfId="0" applyNumberFormat="1" applyFont="1" applyBorder="1" applyAlignment="1" applyProtection="1">
      <alignment vertical="center"/>
      <protection hidden="1"/>
    </xf>
    <xf numFmtId="4" fontId="12" fillId="35" borderId="10" xfId="0" applyNumberFormat="1" applyFont="1" applyFill="1" applyBorder="1" applyAlignment="1" applyProtection="1">
      <alignment horizontal="center" vertical="center"/>
      <protection hidden="1"/>
    </xf>
    <xf numFmtId="0" fontId="13" fillId="35" borderId="10" xfId="0" applyFont="1" applyFill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4" fontId="19" fillId="0" borderId="0" xfId="0" applyNumberFormat="1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vertical="center"/>
      <protection hidden="1"/>
    </xf>
    <xf numFmtId="4" fontId="20" fillId="0" borderId="10" xfId="0" applyNumberFormat="1" applyFont="1" applyBorder="1" applyAlignment="1" applyProtection="1">
      <alignment vertical="center"/>
      <protection hidden="1"/>
    </xf>
    <xf numFmtId="4" fontId="15" fillId="35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/>
      <protection hidden="1"/>
    </xf>
    <xf numFmtId="187" fontId="4" fillId="33" borderId="0" xfId="60" applyNumberFormat="1" applyFont="1" applyFill="1" applyBorder="1" applyAlignment="1" applyProtection="1">
      <alignment/>
      <protection hidden="1"/>
    </xf>
    <xf numFmtId="187" fontId="4" fillId="33" borderId="0" xfId="44" applyNumberFormat="1" applyFont="1" applyFill="1" applyBorder="1" applyAlignment="1" applyProtection="1">
      <alignment/>
      <protection hidden="1"/>
    </xf>
    <xf numFmtId="10" fontId="4" fillId="33" borderId="0" xfId="0" applyNumberFormat="1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4" fontId="0" fillId="0" borderId="12" xfId="0" applyNumberFormat="1" applyBorder="1" applyAlignment="1" applyProtection="1">
      <alignment/>
      <protection hidden="1"/>
    </xf>
    <xf numFmtId="4" fontId="4" fillId="33" borderId="12" xfId="0" applyNumberFormat="1" applyFont="1" applyFill="1" applyBorder="1" applyAlignment="1" applyProtection="1">
      <alignment/>
      <protection hidden="1"/>
    </xf>
    <xf numFmtId="4" fontId="4" fillId="33" borderId="12" xfId="44" applyNumberFormat="1" applyFont="1" applyFill="1" applyBorder="1" applyAlignment="1" applyProtection="1">
      <alignment/>
      <protection hidden="1"/>
    </xf>
    <xf numFmtId="10" fontId="4" fillId="33" borderId="12" xfId="0" applyNumberFormat="1" applyFont="1" applyFill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4" fontId="4" fillId="33" borderId="0" xfId="0" applyNumberFormat="1" applyFont="1" applyFill="1" applyBorder="1" applyAlignment="1" applyProtection="1">
      <alignment/>
      <protection hidden="1"/>
    </xf>
    <xf numFmtId="4" fontId="4" fillId="33" borderId="0" xfId="44" applyNumberFormat="1" applyFont="1" applyFill="1" applyBorder="1" applyAlignment="1" applyProtection="1">
      <alignment/>
      <protection hidden="1"/>
    </xf>
    <xf numFmtId="4" fontId="18" fillId="33" borderId="10" xfId="44" applyNumberFormat="1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4" fontId="0" fillId="0" borderId="13" xfId="0" applyNumberFormat="1" applyBorder="1" applyAlignment="1" applyProtection="1">
      <alignment/>
      <protection hidden="1"/>
    </xf>
    <xf numFmtId="4" fontId="4" fillId="33" borderId="13" xfId="0" applyNumberFormat="1" applyFont="1" applyFill="1" applyBorder="1" applyAlignment="1" applyProtection="1">
      <alignment/>
      <protection hidden="1"/>
    </xf>
    <xf numFmtId="4" fontId="4" fillId="33" borderId="13" xfId="44" applyNumberFormat="1" applyFont="1" applyFill="1" applyBorder="1" applyAlignment="1" applyProtection="1">
      <alignment/>
      <protection hidden="1"/>
    </xf>
    <xf numFmtId="10" fontId="4" fillId="33" borderId="13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87" fontId="8" fillId="0" borderId="0" xfId="44" applyNumberFormat="1" applyFont="1" applyFill="1" applyBorder="1" applyAlignment="1" applyProtection="1">
      <alignment/>
      <protection hidden="1"/>
    </xf>
    <xf numFmtId="10" fontId="4" fillId="0" borderId="0" xfId="0" applyNumberFormat="1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4" fontId="4" fillId="0" borderId="12" xfId="0" applyNumberFormat="1" applyFont="1" applyFill="1" applyBorder="1" applyAlignment="1" applyProtection="1">
      <alignment/>
      <protection hidden="1"/>
    </xf>
    <xf numFmtId="4" fontId="8" fillId="0" borderId="12" xfId="44" applyNumberFormat="1" applyFont="1" applyFill="1" applyBorder="1" applyAlignment="1" applyProtection="1">
      <alignment/>
      <protection hidden="1"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4" fontId="8" fillId="0" borderId="0" xfId="44" applyNumberFormat="1" applyFont="1" applyFill="1" applyBorder="1" applyAlignment="1" applyProtection="1">
      <alignment/>
      <protection hidden="1"/>
    </xf>
    <xf numFmtId="4" fontId="18" fillId="33" borderId="0" xfId="44" applyNumberFormat="1" applyFont="1" applyFill="1" applyBorder="1" applyAlignment="1" applyProtection="1">
      <alignment/>
      <protection hidden="1"/>
    </xf>
    <xf numFmtId="0" fontId="7" fillId="33" borderId="14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4" fontId="4" fillId="33" borderId="14" xfId="44" applyNumberFormat="1" applyFont="1" applyFill="1" applyBorder="1" applyAlignment="1" applyProtection="1">
      <alignment/>
      <protection hidden="1"/>
    </xf>
    <xf numFmtId="4" fontId="8" fillId="33" borderId="14" xfId="44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187" fontId="4" fillId="0" borderId="0" xfId="44" applyNumberFormat="1" applyFont="1" applyFill="1" applyBorder="1" applyAlignment="1" applyProtection="1">
      <alignment/>
      <protection hidden="1"/>
    </xf>
    <xf numFmtId="169" fontId="10" fillId="33" borderId="0" xfId="44" applyFont="1" applyFill="1" applyBorder="1" applyAlignment="1" applyProtection="1">
      <alignment horizontal="center" wrapText="1" shrinkToFit="1"/>
      <protection hidden="1"/>
    </xf>
    <xf numFmtId="186" fontId="8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0" fontId="0" fillId="33" borderId="0" xfId="0" applyNumberFormat="1" applyFill="1" applyAlignment="1" applyProtection="1">
      <alignment/>
      <protection hidden="1"/>
    </xf>
    <xf numFmtId="4" fontId="16" fillId="33" borderId="11" xfId="44" applyNumberFormat="1" applyFont="1" applyFill="1" applyBorder="1" applyAlignment="1" applyProtection="1">
      <alignment/>
      <protection hidden="1"/>
    </xf>
    <xf numFmtId="4" fontId="11" fillId="34" borderId="15" xfId="60" applyNumberFormat="1" applyFont="1" applyFill="1" applyBorder="1" applyAlignment="1" applyProtection="1">
      <alignment vertical="center"/>
      <protection locked="0"/>
    </xf>
    <xf numFmtId="4" fontId="11" fillId="34" borderId="16" xfId="60" applyNumberFormat="1" applyFont="1" applyFill="1" applyBorder="1" applyAlignment="1" applyProtection="1">
      <alignment/>
      <protection locked="0"/>
    </xf>
    <xf numFmtId="10" fontId="4" fillId="33" borderId="0" xfId="0" applyNumberFormat="1" applyFont="1" applyFill="1" applyBorder="1" applyAlignment="1" applyProtection="1" quotePrefix="1">
      <alignment/>
      <protection hidden="1"/>
    </xf>
    <xf numFmtId="0" fontId="24" fillId="0" borderId="0" xfId="0" applyFont="1" applyBorder="1" applyAlignment="1" applyProtection="1">
      <alignment vertical="center"/>
      <protection hidden="1"/>
    </xf>
    <xf numFmtId="10" fontId="26" fillId="33" borderId="0" xfId="0" applyNumberFormat="1" applyFont="1" applyFill="1" applyBorder="1" applyAlignment="1" applyProtection="1" quotePrefix="1">
      <alignment/>
      <protection hidden="1"/>
    </xf>
    <xf numFmtId="4" fontId="0" fillId="33" borderId="0" xfId="0" applyNumberFormat="1" applyFill="1" applyAlignment="1">
      <alignment/>
    </xf>
    <xf numFmtId="0" fontId="24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27" fillId="36" borderId="17" xfId="0" applyFont="1" applyFill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showGridLines="0" tabSelected="1" workbookViewId="0" topLeftCell="A1">
      <selection activeCell="F5" sqref="F5"/>
    </sheetView>
  </sheetViews>
  <sheetFormatPr defaultColWidth="8.8515625" defaultRowHeight="12.75"/>
  <cols>
    <col min="1" max="1" width="33.421875" style="0" customWidth="1"/>
    <col min="2" max="2" width="15.28125" style="0" customWidth="1"/>
    <col min="3" max="3" width="4.7109375" style="0" customWidth="1"/>
    <col min="4" max="4" width="14.421875" style="0" customWidth="1"/>
    <col min="5" max="5" width="13.8515625" style="0" customWidth="1"/>
    <col min="6" max="6" width="13.7109375" style="1" customWidth="1"/>
    <col min="7" max="7" width="9.140625" style="1" bestFit="1" customWidth="1"/>
    <col min="8" max="8" width="9.7109375" style="0" bestFit="1" customWidth="1"/>
    <col min="9" max="9" width="10.140625" style="0" bestFit="1" customWidth="1"/>
    <col min="10" max="10" width="8.8515625" style="0" customWidth="1"/>
    <col min="11" max="11" width="9.140625" style="5" bestFit="1" customWidth="1"/>
    <col min="12" max="12" width="9.7109375" style="5" bestFit="1" customWidth="1"/>
    <col min="13" max="13" width="12.28125" style="5" bestFit="1" customWidth="1"/>
    <col min="14" max="14" width="12.421875" style="0" bestFit="1" customWidth="1"/>
    <col min="15" max="15" width="13.140625" style="0" bestFit="1" customWidth="1"/>
    <col min="16" max="17" width="9.140625" style="5" bestFit="1" customWidth="1"/>
    <col min="18" max="18" width="9.7109375" style="5" bestFit="1" customWidth="1"/>
    <col min="19" max="19" width="10.140625" style="5" bestFit="1" customWidth="1"/>
    <col min="20" max="21" width="0" style="0" hidden="1" customWidth="1"/>
  </cols>
  <sheetData>
    <row r="1" spans="1:13" ht="30" customHeight="1" thickBot="1" thickTop="1">
      <c r="A1" s="80" t="s">
        <v>33</v>
      </c>
      <c r="B1" s="81"/>
      <c r="C1" s="81"/>
      <c r="D1" s="81"/>
      <c r="E1" s="81"/>
      <c r="F1" s="81"/>
      <c r="G1" s="81"/>
      <c r="H1" s="31"/>
      <c r="I1" s="31"/>
      <c r="J1" s="31"/>
      <c r="K1" s="30"/>
      <c r="L1" s="30"/>
      <c r="M1" s="30"/>
    </row>
    <row r="2" spans="1:13" ht="19.5" customHeight="1" thickTop="1">
      <c r="A2" s="82" t="s">
        <v>12</v>
      </c>
      <c r="B2" s="83"/>
      <c r="C2" s="83"/>
      <c r="D2" s="83"/>
      <c r="E2" s="83"/>
      <c r="F2" s="83"/>
      <c r="G2" s="83"/>
      <c r="H2" s="31"/>
      <c r="I2" s="31"/>
      <c r="J2" s="31"/>
      <c r="K2" s="30"/>
      <c r="L2" s="30"/>
      <c r="M2" s="30"/>
    </row>
    <row r="3" spans="1:13" ht="12.75">
      <c r="A3" s="86" t="s">
        <v>25</v>
      </c>
      <c r="B3" s="87"/>
      <c r="C3" s="87"/>
      <c r="D3" s="87"/>
      <c r="E3" s="87"/>
      <c r="F3" s="87"/>
      <c r="G3" s="87"/>
      <c r="H3" s="31"/>
      <c r="I3" s="31"/>
      <c r="J3" s="31"/>
      <c r="K3" s="31"/>
      <c r="L3" s="31"/>
      <c r="M3" s="31"/>
    </row>
    <row r="4" spans="1:13" ht="12.75">
      <c r="A4" s="86" t="s">
        <v>26</v>
      </c>
      <c r="B4" s="86"/>
      <c r="C4" s="86"/>
      <c r="D4" s="86"/>
      <c r="E4" s="86"/>
      <c r="F4" s="86"/>
      <c r="G4" s="86"/>
      <c r="H4" s="27"/>
      <c r="I4" s="27"/>
      <c r="J4" s="27"/>
      <c r="K4" s="27"/>
      <c r="L4" s="27"/>
      <c r="M4" s="27"/>
    </row>
    <row r="5" spans="1:13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2">
      <c r="A6" s="84" t="s">
        <v>27</v>
      </c>
      <c r="B6" s="85"/>
      <c r="C6" s="85"/>
      <c r="D6" s="85"/>
      <c r="E6" s="85"/>
      <c r="F6" s="85"/>
      <c r="G6" s="85"/>
      <c r="H6" s="28"/>
      <c r="I6" s="28"/>
      <c r="J6" s="28"/>
      <c r="K6" s="28"/>
      <c r="L6" s="28"/>
      <c r="M6" s="28"/>
    </row>
    <row r="7" spans="1:13" ht="9.75" customHeight="1">
      <c r="A7" s="2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7" ht="9.75" customHeight="1" thickBot="1">
      <c r="A8" s="32"/>
      <c r="B8" s="33"/>
      <c r="C8" s="32"/>
      <c r="D8" s="34"/>
      <c r="E8" s="34"/>
      <c r="F8" s="35"/>
      <c r="G8" s="35"/>
    </row>
    <row r="9" spans="1:19" ht="24.75" customHeight="1" thickBot="1" thickTop="1">
      <c r="A9" s="21" t="s">
        <v>20</v>
      </c>
      <c r="B9" s="72">
        <v>750000</v>
      </c>
      <c r="C9" s="20"/>
      <c r="D9" s="20" t="s">
        <v>0</v>
      </c>
      <c r="E9" s="20" t="s">
        <v>1</v>
      </c>
      <c r="F9" s="14" t="s">
        <v>17</v>
      </c>
      <c r="G9" s="14" t="s">
        <v>18</v>
      </c>
      <c r="M9" s="6"/>
      <c r="N9" s="7"/>
      <c r="O9" s="7"/>
      <c r="P9" s="6"/>
      <c r="Q9" s="6"/>
      <c r="R9" s="6"/>
      <c r="S9" s="6"/>
    </row>
    <row r="10" spans="1:7" ht="24.75" customHeight="1" thickTop="1">
      <c r="A10" s="36" t="s">
        <v>2</v>
      </c>
      <c r="B10" s="37"/>
      <c r="C10" s="38"/>
      <c r="D10" s="39">
        <f aca="true" t="shared" si="0" ref="D10:E17">IF(A110&gt;0,A110,0)</f>
        <v>1947.2495999999999</v>
      </c>
      <c r="E10" s="39">
        <f t="shared" si="0"/>
        <v>2271.7912</v>
      </c>
      <c r="F10" s="40">
        <v>0.12</v>
      </c>
      <c r="G10" s="40">
        <v>0.14</v>
      </c>
    </row>
    <row r="11" spans="1:7" ht="21" customHeight="1">
      <c r="A11" s="36" t="s">
        <v>3</v>
      </c>
      <c r="B11" s="37"/>
      <c r="C11" s="38"/>
      <c r="D11" s="39">
        <f t="shared" si="0"/>
        <v>811.3539999999999</v>
      </c>
      <c r="E11" s="39">
        <f t="shared" si="0"/>
        <v>973.6247999999998</v>
      </c>
      <c r="F11" s="40">
        <v>0.1</v>
      </c>
      <c r="G11" s="40">
        <v>0.12</v>
      </c>
    </row>
    <row r="12" spans="1:7" ht="21" customHeight="1">
      <c r="A12" s="36" t="s">
        <v>4</v>
      </c>
      <c r="B12" s="37"/>
      <c r="C12" s="38"/>
      <c r="D12" s="39">
        <f t="shared" si="0"/>
        <v>1379.3001000000002</v>
      </c>
      <c r="E12" s="39">
        <f t="shared" si="0"/>
        <v>1541.5707</v>
      </c>
      <c r="F12" s="40">
        <v>0.085</v>
      </c>
      <c r="G12" s="40">
        <v>0.095</v>
      </c>
    </row>
    <row r="13" spans="1:7" ht="21" customHeight="1">
      <c r="A13" s="36" t="s">
        <v>5</v>
      </c>
      <c r="B13" s="37"/>
      <c r="C13" s="38"/>
      <c r="D13" s="39">
        <f t="shared" si="0"/>
        <v>2839.7390000000005</v>
      </c>
      <c r="E13" s="39">
        <f t="shared" si="0"/>
        <v>3245.4160000000006</v>
      </c>
      <c r="F13" s="40">
        <v>0.07</v>
      </c>
      <c r="G13" s="40">
        <v>0.08</v>
      </c>
    </row>
    <row r="14" spans="1:7" ht="21" customHeight="1">
      <c r="A14" s="36" t="s">
        <v>6</v>
      </c>
      <c r="B14" s="37"/>
      <c r="C14" s="38"/>
      <c r="D14" s="39">
        <f t="shared" si="0"/>
        <v>17849.783050000002</v>
      </c>
      <c r="E14" s="39">
        <f t="shared" si="0"/>
        <v>21095.19815</v>
      </c>
      <c r="F14" s="40">
        <v>0.055</v>
      </c>
      <c r="G14" s="40">
        <v>0.065</v>
      </c>
    </row>
    <row r="15" spans="1:7" ht="21" customHeight="1">
      <c r="A15" s="36" t="s">
        <v>7</v>
      </c>
      <c r="B15" s="37"/>
      <c r="C15" s="38"/>
      <c r="D15" s="39">
        <f t="shared" si="0"/>
        <v>13772.9244</v>
      </c>
      <c r="E15" s="39">
        <f t="shared" si="0"/>
        <v>17216.1555</v>
      </c>
      <c r="F15" s="40">
        <v>0.04</v>
      </c>
      <c r="G15" s="40">
        <v>0.05</v>
      </c>
    </row>
    <row r="16" spans="1:7" ht="21" customHeight="1">
      <c r="A16" s="36" t="s">
        <v>8</v>
      </c>
      <c r="B16" s="37"/>
      <c r="C16" s="38"/>
      <c r="D16" s="39">
        <f t="shared" si="0"/>
        <v>0</v>
      </c>
      <c r="E16" s="39">
        <f t="shared" si="0"/>
        <v>0</v>
      </c>
      <c r="F16" s="40">
        <v>0.009</v>
      </c>
      <c r="G16" s="40">
        <v>0.018</v>
      </c>
    </row>
    <row r="17" spans="1:7" ht="21" customHeight="1">
      <c r="A17" s="36" t="s">
        <v>9</v>
      </c>
      <c r="B17" s="37"/>
      <c r="C17" s="38"/>
      <c r="D17" s="39">
        <f t="shared" si="0"/>
        <v>0</v>
      </c>
      <c r="E17" s="39">
        <f t="shared" si="0"/>
        <v>0</v>
      </c>
      <c r="F17" s="40">
        <v>0.0045</v>
      </c>
      <c r="G17" s="40">
        <v>0.009</v>
      </c>
    </row>
    <row r="18" spans="1:7" ht="15" customHeight="1" thickBot="1">
      <c r="A18" s="32"/>
      <c r="B18" s="41"/>
      <c r="C18" s="42"/>
      <c r="D18" s="43"/>
      <c r="E18" s="43"/>
      <c r="F18" s="35"/>
      <c r="G18" s="35"/>
    </row>
    <row r="19" spans="1:7" ht="24.75" customHeight="1" thickBot="1" thickTop="1">
      <c r="A19" s="17" t="s">
        <v>13</v>
      </c>
      <c r="B19" s="19"/>
      <c r="C19" s="19"/>
      <c r="D19" s="44">
        <f>SUM(D10:D17)</f>
        <v>38600.35015</v>
      </c>
      <c r="E19" s="44">
        <f>SUM(E10:E17)</f>
        <v>46343.75635</v>
      </c>
      <c r="F19" s="15"/>
      <c r="G19" s="15"/>
    </row>
    <row r="20" spans="1:7" ht="30" customHeight="1" thickBot="1" thickTop="1">
      <c r="A20" s="32"/>
      <c r="B20" s="33"/>
      <c r="C20" s="32"/>
      <c r="D20" s="34"/>
      <c r="E20" s="34"/>
      <c r="F20" s="35"/>
      <c r="G20" s="35"/>
    </row>
    <row r="21" spans="1:7" ht="24.75" customHeight="1" thickBot="1" thickTop="1">
      <c r="A21" s="21" t="s">
        <v>21</v>
      </c>
      <c r="B21" s="73">
        <v>2500000</v>
      </c>
      <c r="C21" s="20"/>
      <c r="D21" s="20" t="s">
        <v>0</v>
      </c>
      <c r="E21" s="20" t="s">
        <v>1</v>
      </c>
      <c r="F21" s="14" t="s">
        <v>17</v>
      </c>
      <c r="G21" s="14" t="s">
        <v>18</v>
      </c>
    </row>
    <row r="22" spans="1:7" ht="24.75" customHeight="1" thickTop="1">
      <c r="A22" s="45" t="s">
        <v>10</v>
      </c>
      <c r="B22" s="46"/>
      <c r="C22" s="47"/>
      <c r="D22" s="48">
        <f>IF(A122&gt;0,A122,0)</f>
        <v>154.14962200000002</v>
      </c>
      <c r="E22" s="48">
        <f>IF(B122&gt;0,B122,0)</f>
        <v>762.6349720000001</v>
      </c>
      <c r="F22" s="49">
        <v>0.0019</v>
      </c>
      <c r="G22" s="49">
        <v>0.0094</v>
      </c>
    </row>
    <row r="23" spans="1:7" ht="19.5" customHeight="1">
      <c r="A23" s="36" t="s">
        <v>11</v>
      </c>
      <c r="B23" s="37"/>
      <c r="C23" s="38"/>
      <c r="D23" s="39">
        <f>IF(A123&gt;0,A123,0)</f>
        <v>1451.321172</v>
      </c>
      <c r="E23" s="39">
        <f>IF(B123&gt;0,B123,0)</f>
        <v>11126.795652</v>
      </c>
      <c r="F23" s="40">
        <v>0.0006</v>
      </c>
      <c r="G23" s="40">
        <v>0.0046</v>
      </c>
    </row>
    <row r="24" spans="1:15" ht="15" customHeight="1" thickBot="1">
      <c r="A24" s="32"/>
      <c r="B24" s="41"/>
      <c r="C24" s="42"/>
      <c r="D24" s="43"/>
      <c r="E24" s="43"/>
      <c r="F24" s="35"/>
      <c r="G24" s="35"/>
      <c r="K24" s="12"/>
      <c r="L24" s="12"/>
      <c r="N24" s="1"/>
      <c r="O24" s="1"/>
    </row>
    <row r="25" spans="1:15" ht="24.75" customHeight="1" thickBot="1" thickTop="1">
      <c r="A25" s="17" t="s">
        <v>14</v>
      </c>
      <c r="B25" s="19"/>
      <c r="C25" s="19"/>
      <c r="D25" s="44">
        <f>SUM(D22:D23)</f>
        <v>1605.4707939999998</v>
      </c>
      <c r="E25" s="44">
        <f>SUM(E22:E23)</f>
        <v>11889.430624</v>
      </c>
      <c r="F25" s="15"/>
      <c r="G25" s="15"/>
      <c r="K25" s="12"/>
      <c r="L25" s="12"/>
      <c r="N25" s="1"/>
      <c r="O25" s="1"/>
    </row>
    <row r="26" spans="1:19" s="11" customFormat="1" ht="15" customHeight="1" thickTop="1">
      <c r="A26" s="50"/>
      <c r="B26" s="51"/>
      <c r="C26" s="51"/>
      <c r="D26" s="52"/>
      <c r="E26" s="52"/>
      <c r="F26" s="53"/>
      <c r="G26" s="53"/>
      <c r="K26" s="12"/>
      <c r="L26" s="12"/>
      <c r="M26" s="12"/>
      <c r="N26" s="13"/>
      <c r="O26" s="13"/>
      <c r="P26" s="12"/>
      <c r="Q26" s="12"/>
      <c r="R26" s="12"/>
      <c r="S26" s="12"/>
    </row>
    <row r="27" spans="1:19" s="11" customFormat="1" ht="15" customHeight="1" thickBot="1">
      <c r="A27" s="50"/>
      <c r="B27" s="51"/>
      <c r="C27" s="51"/>
      <c r="D27" s="52"/>
      <c r="E27" s="52"/>
      <c r="F27" s="53"/>
      <c r="G27" s="53"/>
      <c r="K27" s="12"/>
      <c r="L27" s="12"/>
      <c r="M27" s="12"/>
      <c r="N27" s="13"/>
      <c r="O27" s="13"/>
      <c r="P27" s="12"/>
      <c r="Q27" s="12"/>
      <c r="R27" s="12"/>
      <c r="S27" s="12"/>
    </row>
    <row r="28" spans="1:19" s="11" customFormat="1" ht="24.75" customHeight="1" thickBot="1" thickTop="1">
      <c r="A28" s="21" t="s">
        <v>22</v>
      </c>
      <c r="B28" s="18"/>
      <c r="C28" s="18"/>
      <c r="D28" s="20" t="s">
        <v>0</v>
      </c>
      <c r="E28" s="20" t="s">
        <v>1</v>
      </c>
      <c r="F28" s="14" t="s">
        <v>17</v>
      </c>
      <c r="G28" s="14" t="s">
        <v>18</v>
      </c>
      <c r="K28" s="12"/>
      <c r="L28" s="12"/>
      <c r="M28" s="12"/>
      <c r="N28" s="13"/>
      <c r="O28" s="13"/>
      <c r="P28" s="12"/>
      <c r="Q28" s="12"/>
      <c r="R28" s="12"/>
      <c r="S28" s="12"/>
    </row>
    <row r="29" spans="1:19" s="11" customFormat="1" ht="15" customHeight="1" thickBot="1" thickTop="1">
      <c r="A29" s="50"/>
      <c r="B29" s="51"/>
      <c r="C29" s="51"/>
      <c r="D29" s="52"/>
      <c r="E29" s="52"/>
      <c r="F29" s="53"/>
      <c r="G29" s="53"/>
      <c r="K29" s="12"/>
      <c r="L29" s="12"/>
      <c r="M29" s="12"/>
      <c r="N29" s="13"/>
      <c r="O29" s="13"/>
      <c r="P29" s="12"/>
      <c r="Q29" s="12"/>
      <c r="R29" s="12"/>
      <c r="S29" s="12"/>
    </row>
    <row r="30" spans="1:19" s="11" customFormat="1" ht="21" customHeight="1" thickBot="1">
      <c r="A30" s="54" t="s">
        <v>16</v>
      </c>
      <c r="B30" s="73">
        <v>0</v>
      </c>
      <c r="C30" s="55"/>
      <c r="D30" s="56">
        <f>B30*F30</f>
        <v>0</v>
      </c>
      <c r="E30" s="56">
        <f>B30*G30</f>
        <v>0</v>
      </c>
      <c r="F30" s="40">
        <v>0.005</v>
      </c>
      <c r="G30" s="40">
        <v>0.005</v>
      </c>
      <c r="K30" s="12"/>
      <c r="L30" s="12"/>
      <c r="M30" s="12"/>
      <c r="N30" s="13"/>
      <c r="O30" s="13"/>
      <c r="P30" s="12"/>
      <c r="Q30" s="12"/>
      <c r="R30" s="12"/>
      <c r="S30" s="12"/>
    </row>
    <row r="31" spans="1:19" s="11" customFormat="1" ht="9.75" customHeight="1" thickBot="1">
      <c r="A31" s="50"/>
      <c r="B31" s="57"/>
      <c r="C31" s="55"/>
      <c r="D31" s="56"/>
      <c r="E31" s="56"/>
      <c r="F31" s="58"/>
      <c r="G31" s="58"/>
      <c r="K31" s="12"/>
      <c r="L31" s="12"/>
      <c r="M31" s="12"/>
      <c r="N31" s="13"/>
      <c r="O31" s="13"/>
      <c r="P31" s="12"/>
      <c r="Q31" s="12"/>
      <c r="R31" s="12"/>
      <c r="S31" s="12"/>
    </row>
    <row r="32" spans="1:19" s="11" customFormat="1" ht="21" customHeight="1" thickBot="1">
      <c r="A32" s="54" t="s">
        <v>15</v>
      </c>
      <c r="B32" s="73">
        <v>0</v>
      </c>
      <c r="C32" s="55"/>
      <c r="D32" s="56">
        <f>B32*F32</f>
        <v>0</v>
      </c>
      <c r="E32" s="56">
        <f>B32*G32</f>
        <v>0</v>
      </c>
      <c r="F32" s="40">
        <v>0.0025</v>
      </c>
      <c r="G32" s="40">
        <v>0.0025</v>
      </c>
      <c r="K32" s="12"/>
      <c r="L32" s="12"/>
      <c r="M32" s="12"/>
      <c r="N32" s="13"/>
      <c r="O32" s="13"/>
      <c r="P32" s="12"/>
      <c r="Q32" s="12"/>
      <c r="R32" s="12"/>
      <c r="S32" s="12"/>
    </row>
    <row r="33" spans="1:19" s="11" customFormat="1" ht="15" customHeight="1" thickBot="1">
      <c r="A33" s="50"/>
      <c r="B33" s="57"/>
      <c r="C33" s="57"/>
      <c r="D33" s="59"/>
      <c r="E33" s="52"/>
      <c r="F33" s="53"/>
      <c r="G33" s="53"/>
      <c r="K33" s="12"/>
      <c r="L33" s="12"/>
      <c r="M33" s="12"/>
      <c r="N33" s="13"/>
      <c r="O33" s="13"/>
      <c r="P33" s="12"/>
      <c r="Q33" s="12"/>
      <c r="R33" s="12"/>
      <c r="S33" s="12"/>
    </row>
    <row r="34" spans="1:19" s="11" customFormat="1" ht="24.75" customHeight="1" thickBot="1" thickTop="1">
      <c r="A34" s="17" t="s">
        <v>19</v>
      </c>
      <c r="B34" s="19"/>
      <c r="C34" s="19"/>
      <c r="D34" s="44">
        <f>SUM(D30:D32)</f>
        <v>0</v>
      </c>
      <c r="E34" s="44">
        <f>SUM(E30:E32)</f>
        <v>0</v>
      </c>
      <c r="F34" s="53"/>
      <c r="G34" s="53"/>
      <c r="K34" s="12"/>
      <c r="L34" s="12"/>
      <c r="M34" s="12"/>
      <c r="N34" s="13"/>
      <c r="O34" s="13"/>
      <c r="P34" s="12"/>
      <c r="Q34" s="12"/>
      <c r="R34" s="12"/>
      <c r="S34" s="12"/>
    </row>
    <row r="35" spans="1:19" s="11" customFormat="1" ht="15" customHeight="1" thickTop="1">
      <c r="A35" s="50"/>
      <c r="B35" s="51"/>
      <c r="C35" s="51"/>
      <c r="D35" s="52"/>
      <c r="E35" s="52"/>
      <c r="F35" s="53"/>
      <c r="G35" s="53"/>
      <c r="K35" s="12"/>
      <c r="L35" s="12"/>
      <c r="M35" s="12"/>
      <c r="N35" s="13"/>
      <c r="O35" s="13"/>
      <c r="P35" s="12"/>
      <c r="Q35" s="12"/>
      <c r="R35" s="12"/>
      <c r="S35" s="12"/>
    </row>
    <row r="36" spans="1:15" ht="15" customHeight="1" thickBot="1">
      <c r="A36" s="32"/>
      <c r="B36" s="32"/>
      <c r="C36" s="32"/>
      <c r="D36" s="34"/>
      <c r="E36" s="34"/>
      <c r="F36" s="35"/>
      <c r="G36" s="35"/>
      <c r="K36" s="12"/>
      <c r="L36" s="12"/>
      <c r="N36" s="1"/>
      <c r="O36" s="1"/>
    </row>
    <row r="37" spans="1:10" ht="25.5" customHeight="1" thickBot="1" thickTop="1">
      <c r="A37" s="16" t="s">
        <v>28</v>
      </c>
      <c r="B37" s="19"/>
      <c r="C37" s="19"/>
      <c r="D37" s="44">
        <f>D19+D25+D34</f>
        <v>40205.820944</v>
      </c>
      <c r="E37" s="44">
        <f>E19+E25+E34</f>
        <v>58233.186974000004</v>
      </c>
      <c r="F37" s="76" t="s">
        <v>29</v>
      </c>
      <c r="G37" s="35"/>
      <c r="H37" s="2"/>
      <c r="I37" s="2"/>
      <c r="J37" s="2"/>
    </row>
    <row r="38" spans="1:10" ht="21.75" customHeight="1" thickTop="1">
      <c r="A38" s="75" t="s">
        <v>30</v>
      </c>
      <c r="B38" s="23"/>
      <c r="C38" s="23"/>
      <c r="D38" s="60"/>
      <c r="E38" s="60"/>
      <c r="F38" s="74"/>
      <c r="G38" s="35"/>
      <c r="H38" s="2"/>
      <c r="I38" s="2"/>
      <c r="J38" s="2"/>
    </row>
    <row r="39" spans="1:10" ht="9.75" customHeight="1">
      <c r="A39" s="22"/>
      <c r="B39" s="23"/>
      <c r="C39" s="23"/>
      <c r="D39" s="60"/>
      <c r="E39" s="60"/>
      <c r="F39" s="35"/>
      <c r="G39" s="35"/>
      <c r="H39" s="2"/>
      <c r="I39" s="2"/>
      <c r="J39" s="2"/>
    </row>
    <row r="40" spans="1:10" ht="9.75" customHeight="1" thickBot="1">
      <c r="A40" s="61"/>
      <c r="B40" s="62"/>
      <c r="C40" s="62"/>
      <c r="D40" s="63"/>
      <c r="E40" s="64"/>
      <c r="F40" s="35"/>
      <c r="G40" s="35"/>
      <c r="H40" s="2"/>
      <c r="I40" s="2"/>
      <c r="J40" s="2"/>
    </row>
    <row r="41" spans="1:10" ht="25.5" customHeight="1" thickBot="1" thickTop="1">
      <c r="A41" s="17" t="s">
        <v>23</v>
      </c>
      <c r="B41" s="19"/>
      <c r="C41" s="19"/>
      <c r="D41" s="44">
        <f>D37*0.05</f>
        <v>2010.2910472</v>
      </c>
      <c r="E41" s="44">
        <f>E37*0.05</f>
        <v>2911.6593487000005</v>
      </c>
      <c r="F41" s="35"/>
      <c r="G41" s="35"/>
      <c r="H41" s="2"/>
      <c r="I41" s="2"/>
      <c r="J41" s="2"/>
    </row>
    <row r="42" spans="1:19" s="9" customFormat="1" ht="15" customHeight="1" thickTop="1">
      <c r="A42" s="65"/>
      <c r="B42" s="51"/>
      <c r="C42" s="51"/>
      <c r="D42" s="66"/>
      <c r="E42" s="52"/>
      <c r="F42" s="53"/>
      <c r="G42" s="35"/>
      <c r="K42" s="10"/>
      <c r="L42" s="10"/>
      <c r="M42" s="10"/>
      <c r="P42" s="10"/>
      <c r="Q42" s="10"/>
      <c r="R42" s="10"/>
      <c r="S42" s="10"/>
    </row>
    <row r="43" spans="1:7" ht="15" customHeight="1" thickBot="1">
      <c r="A43" s="67"/>
      <c r="B43" s="67"/>
      <c r="C43" s="67"/>
      <c r="D43" s="68"/>
      <c r="E43" s="68"/>
      <c r="F43" s="35"/>
      <c r="G43" s="35"/>
    </row>
    <row r="44" spans="1:7" ht="24.75" customHeight="1" thickBot="1" thickTop="1">
      <c r="A44" s="69"/>
      <c r="B44" s="69"/>
      <c r="C44" s="69"/>
      <c r="D44" s="26" t="s">
        <v>0</v>
      </c>
      <c r="E44" s="26" t="s">
        <v>1</v>
      </c>
      <c r="F44" s="70"/>
      <c r="G44" s="70"/>
    </row>
    <row r="45" spans="1:7" ht="24.75" customHeight="1" thickBot="1" thickTop="1">
      <c r="A45" s="24" t="s">
        <v>24</v>
      </c>
      <c r="B45" s="25"/>
      <c r="C45" s="25"/>
      <c r="D45" s="71">
        <f>D41+D37</f>
        <v>42216.1119912</v>
      </c>
      <c r="E45" s="71">
        <f>E41+E37</f>
        <v>61144.8463227</v>
      </c>
      <c r="F45" s="76" t="s">
        <v>31</v>
      </c>
      <c r="G45" s="70"/>
    </row>
    <row r="46" spans="1:7" ht="49.5" customHeight="1" thickTop="1">
      <c r="A46" s="78" t="s">
        <v>32</v>
      </c>
      <c r="B46" s="79"/>
      <c r="C46" s="79"/>
      <c r="D46" s="79"/>
      <c r="E46" s="79"/>
      <c r="F46" s="79"/>
      <c r="G46" s="79"/>
    </row>
    <row r="47" spans="1:7" ht="9.75" customHeight="1">
      <c r="A47" s="69"/>
      <c r="B47" s="69"/>
      <c r="C47" s="69"/>
      <c r="D47" s="69"/>
      <c r="E47" s="69"/>
      <c r="F47" s="70"/>
      <c r="G47" s="70"/>
    </row>
    <row r="48" spans="1:7" ht="19.5" customHeight="1">
      <c r="A48" s="3"/>
      <c r="B48" s="3"/>
      <c r="C48" s="3"/>
      <c r="D48" s="3"/>
      <c r="E48" s="3"/>
      <c r="F48" s="4"/>
      <c r="G48" s="4"/>
    </row>
    <row r="49" spans="1:7" ht="19.5" customHeight="1">
      <c r="A49" s="3"/>
      <c r="B49" s="3"/>
      <c r="C49" s="3"/>
      <c r="D49" s="3"/>
      <c r="E49" s="3"/>
      <c r="F49" s="4"/>
      <c r="G49" s="4"/>
    </row>
    <row r="50" spans="1:7" ht="19.5" customHeight="1">
      <c r="A50" s="3"/>
      <c r="B50" s="3"/>
      <c r="C50" s="3"/>
      <c r="D50" s="3"/>
      <c r="E50" s="3"/>
      <c r="F50" s="4"/>
      <c r="G50" s="4"/>
    </row>
    <row r="51" spans="1:7" ht="19.5" customHeight="1">
      <c r="A51" s="3"/>
      <c r="B51" s="3"/>
      <c r="C51" s="3"/>
      <c r="D51" s="3"/>
      <c r="E51" s="3"/>
      <c r="F51" s="4"/>
      <c r="G51" s="4"/>
    </row>
    <row r="52" spans="1:7" ht="19.5" customHeight="1">
      <c r="A52" s="3"/>
      <c r="B52" s="3"/>
      <c r="C52" s="3"/>
      <c r="D52" s="3"/>
      <c r="E52" s="3"/>
      <c r="F52" s="4"/>
      <c r="G52" s="4"/>
    </row>
    <row r="53" spans="1:7" ht="19.5" customHeight="1">
      <c r="A53" s="3"/>
      <c r="B53" s="3"/>
      <c r="C53" s="3"/>
      <c r="D53" s="3"/>
      <c r="E53" s="3"/>
      <c r="F53" s="4"/>
      <c r="G53" s="4"/>
    </row>
    <row r="54" spans="1:7" ht="19.5" customHeight="1">
      <c r="A54" s="3"/>
      <c r="B54" s="3"/>
      <c r="C54" s="3"/>
      <c r="D54" s="3"/>
      <c r="E54" s="3"/>
      <c r="F54" s="4"/>
      <c r="G54" s="4"/>
    </row>
    <row r="55" spans="1:7" ht="19.5" customHeight="1">
      <c r="A55" s="3"/>
      <c r="B55" s="3"/>
      <c r="C55" s="3"/>
      <c r="D55" s="3"/>
      <c r="E55" s="3"/>
      <c r="F55" s="4"/>
      <c r="G55" s="4"/>
    </row>
    <row r="56" spans="1:7" ht="19.5" customHeight="1">
      <c r="A56" s="3"/>
      <c r="B56" s="3"/>
      <c r="C56" s="3"/>
      <c r="D56" s="3"/>
      <c r="E56" s="3"/>
      <c r="F56" s="4"/>
      <c r="G56" s="4"/>
    </row>
    <row r="57" spans="1:7" ht="19.5" customHeight="1">
      <c r="A57" s="3"/>
      <c r="B57" s="3"/>
      <c r="C57" s="3"/>
      <c r="D57" s="3"/>
      <c r="E57" s="3"/>
      <c r="F57" s="4"/>
      <c r="G57" s="4"/>
    </row>
    <row r="58" spans="1:7" ht="19.5" customHeight="1">
      <c r="A58" s="3"/>
      <c r="B58" s="3"/>
      <c r="C58" s="3"/>
      <c r="D58" s="3"/>
      <c r="E58" s="3"/>
      <c r="F58" s="4"/>
      <c r="G58" s="4"/>
    </row>
    <row r="59" spans="1:7" ht="19.5" customHeight="1">
      <c r="A59" s="3"/>
      <c r="B59" s="3"/>
      <c r="C59" s="3"/>
      <c r="D59" s="3"/>
      <c r="E59" s="3"/>
      <c r="F59" s="4"/>
      <c r="G59" s="4"/>
    </row>
    <row r="60" spans="1:7" ht="19.5" customHeight="1">
      <c r="A60" s="3"/>
      <c r="B60" s="3"/>
      <c r="C60" s="3"/>
      <c r="D60" s="3"/>
      <c r="E60" s="3"/>
      <c r="F60" s="4"/>
      <c r="G60" s="4"/>
    </row>
    <row r="61" spans="1:7" ht="19.5" customHeight="1">
      <c r="A61" s="3"/>
      <c r="B61" s="3"/>
      <c r="C61" s="3"/>
      <c r="D61" s="3"/>
      <c r="E61" s="3"/>
      <c r="F61" s="4"/>
      <c r="G61" s="4"/>
    </row>
    <row r="62" spans="1:7" ht="19.5" customHeight="1">
      <c r="A62" s="3"/>
      <c r="B62" s="3"/>
      <c r="C62" s="3"/>
      <c r="D62" s="3"/>
      <c r="E62" s="3"/>
      <c r="F62" s="4"/>
      <c r="G62" s="4"/>
    </row>
    <row r="63" spans="1:7" ht="19.5" customHeight="1">
      <c r="A63" s="3"/>
      <c r="B63" s="3"/>
      <c r="C63" s="3"/>
      <c r="D63" s="3"/>
      <c r="E63" s="3"/>
      <c r="F63" s="4"/>
      <c r="G63" s="4"/>
    </row>
    <row r="64" spans="1:7" ht="19.5" customHeight="1">
      <c r="A64" s="3"/>
      <c r="B64" s="3"/>
      <c r="C64" s="3"/>
      <c r="D64" s="3"/>
      <c r="E64" s="3"/>
      <c r="F64" s="4"/>
      <c r="G64" s="4"/>
    </row>
    <row r="65" spans="1:7" ht="19.5" customHeight="1">
      <c r="A65" s="3"/>
      <c r="B65" s="3"/>
      <c r="C65" s="3"/>
      <c r="D65" s="3"/>
      <c r="E65" s="3"/>
      <c r="F65" s="4"/>
      <c r="G65" s="4"/>
    </row>
    <row r="66" spans="1:7" ht="19.5" customHeight="1">
      <c r="A66" s="3"/>
      <c r="B66" s="3"/>
      <c r="C66" s="3"/>
      <c r="D66" s="3"/>
      <c r="E66" s="3"/>
      <c r="F66" s="4"/>
      <c r="G66" s="4"/>
    </row>
    <row r="67" spans="1:7" ht="19.5" customHeight="1">
      <c r="A67" s="3"/>
      <c r="B67" s="3"/>
      <c r="C67" s="3"/>
      <c r="D67" s="3"/>
      <c r="E67" s="3"/>
      <c r="F67" s="4"/>
      <c r="G67" s="4"/>
    </row>
    <row r="68" spans="1:7" ht="19.5" customHeight="1">
      <c r="A68" s="3"/>
      <c r="B68" s="3"/>
      <c r="C68" s="3"/>
      <c r="D68" s="3"/>
      <c r="E68" s="3"/>
      <c r="F68" s="4"/>
      <c r="G68" s="4"/>
    </row>
    <row r="69" spans="1:7" ht="19.5" customHeight="1">
      <c r="A69" s="3"/>
      <c r="B69" s="3"/>
      <c r="C69" s="3"/>
      <c r="D69" s="3"/>
      <c r="E69" s="3"/>
      <c r="F69" s="4"/>
      <c r="G69" s="4"/>
    </row>
    <row r="70" spans="1:7" ht="19.5" customHeight="1">
      <c r="A70" s="3"/>
      <c r="B70" s="3"/>
      <c r="C70" s="3"/>
      <c r="D70" s="3"/>
      <c r="E70" s="3"/>
      <c r="F70" s="4"/>
      <c r="G70" s="4"/>
    </row>
    <row r="71" spans="1:7" ht="19.5" customHeight="1">
      <c r="A71" s="3"/>
      <c r="B71" s="3"/>
      <c r="C71" s="3"/>
      <c r="D71" s="3"/>
      <c r="E71" s="3"/>
      <c r="F71" s="4"/>
      <c r="G71" s="4"/>
    </row>
    <row r="72" spans="1:7" ht="19.5" customHeight="1">
      <c r="A72" s="3"/>
      <c r="B72" s="3"/>
      <c r="C72" s="3"/>
      <c r="D72" s="3"/>
      <c r="E72" s="3"/>
      <c r="F72" s="4"/>
      <c r="G72" s="4"/>
    </row>
    <row r="73" spans="1:7" ht="19.5" customHeight="1">
      <c r="A73" s="3"/>
      <c r="B73" s="3"/>
      <c r="C73" s="3"/>
      <c r="D73" s="3"/>
      <c r="E73" s="3"/>
      <c r="F73" s="4"/>
      <c r="G73" s="4"/>
    </row>
    <row r="74" spans="1:7" ht="19.5" customHeight="1">
      <c r="A74" s="3"/>
      <c r="B74" s="3"/>
      <c r="C74" s="3"/>
      <c r="D74" s="3"/>
      <c r="E74" s="3"/>
      <c r="F74" s="4"/>
      <c r="G74" s="4"/>
    </row>
    <row r="75" spans="1:7" ht="19.5" customHeight="1">
      <c r="A75" s="3"/>
      <c r="B75" s="3"/>
      <c r="C75" s="3"/>
      <c r="D75" s="3"/>
      <c r="E75" s="3"/>
      <c r="F75" s="4"/>
      <c r="G75" s="4"/>
    </row>
    <row r="76" spans="1:7" ht="19.5" customHeight="1">
      <c r="A76" s="3"/>
      <c r="B76" s="3"/>
      <c r="C76" s="3"/>
      <c r="D76" s="3"/>
      <c r="E76" s="3"/>
      <c r="F76" s="4"/>
      <c r="G76" s="4"/>
    </row>
    <row r="77" spans="1:7" ht="19.5" customHeight="1">
      <c r="A77" s="3"/>
      <c r="B77" s="3"/>
      <c r="C77" s="3"/>
      <c r="D77" s="3"/>
      <c r="E77" s="3"/>
      <c r="F77" s="4"/>
      <c r="G77" s="4"/>
    </row>
    <row r="78" spans="1:7" ht="19.5" customHeight="1">
      <c r="A78" s="3"/>
      <c r="B78" s="3"/>
      <c r="C78" s="3"/>
      <c r="D78" s="3"/>
      <c r="E78" s="3"/>
      <c r="F78" s="4"/>
      <c r="G78" s="4"/>
    </row>
    <row r="79" spans="1:7" ht="19.5" customHeight="1">
      <c r="A79" s="3"/>
      <c r="B79" s="3"/>
      <c r="C79" s="3"/>
      <c r="D79" s="3"/>
      <c r="E79" s="3"/>
      <c r="F79" s="4"/>
      <c r="G79" s="4"/>
    </row>
    <row r="80" spans="1:7" ht="19.5" customHeight="1">
      <c r="A80" s="3"/>
      <c r="B80" s="3"/>
      <c r="C80" s="3"/>
      <c r="D80" s="3"/>
      <c r="E80" s="3"/>
      <c r="F80" s="4"/>
      <c r="G80" s="4"/>
    </row>
    <row r="81" spans="1:7" ht="19.5" customHeight="1">
      <c r="A81" s="3"/>
      <c r="B81" s="3"/>
      <c r="C81" s="3"/>
      <c r="D81" s="3"/>
      <c r="E81" s="3"/>
      <c r="F81" s="4"/>
      <c r="G81" s="4"/>
    </row>
    <row r="82" spans="1:7" ht="19.5" customHeight="1">
      <c r="A82" s="3"/>
      <c r="B82" s="3"/>
      <c r="C82" s="3"/>
      <c r="D82" s="3"/>
      <c r="E82" s="3"/>
      <c r="F82" s="4"/>
      <c r="G82" s="4"/>
    </row>
    <row r="83" spans="1:7" ht="19.5" customHeight="1">
      <c r="A83" s="3"/>
      <c r="B83" s="3"/>
      <c r="C83" s="3"/>
      <c r="D83" s="3"/>
      <c r="E83" s="3"/>
      <c r="F83" s="4"/>
      <c r="G83" s="4"/>
    </row>
    <row r="84" spans="1:7" ht="19.5" customHeight="1">
      <c r="A84" s="3"/>
      <c r="B84" s="3"/>
      <c r="C84" s="3"/>
      <c r="D84" s="3"/>
      <c r="E84" s="3"/>
      <c r="F84" s="4"/>
      <c r="G84" s="4"/>
    </row>
    <row r="85" spans="1:7" ht="19.5" customHeight="1">
      <c r="A85" s="3"/>
      <c r="B85" s="3"/>
      <c r="C85" s="3"/>
      <c r="D85" s="3"/>
      <c r="E85" s="3"/>
      <c r="F85" s="4"/>
      <c r="G85" s="4"/>
    </row>
    <row r="86" spans="1:7" ht="19.5" customHeight="1">
      <c r="A86" s="3"/>
      <c r="B86" s="3"/>
      <c r="C86" s="3"/>
      <c r="D86" s="3"/>
      <c r="E86" s="3"/>
      <c r="F86" s="4"/>
      <c r="G86" s="4"/>
    </row>
    <row r="87" spans="1:7" ht="19.5" customHeight="1">
      <c r="A87" s="3"/>
      <c r="B87" s="3"/>
      <c r="C87" s="3"/>
      <c r="D87" s="3"/>
      <c r="E87" s="3"/>
      <c r="F87" s="4"/>
      <c r="G87" s="4"/>
    </row>
    <row r="88" spans="1:7" ht="19.5" customHeight="1">
      <c r="A88" s="3"/>
      <c r="B88" s="3"/>
      <c r="C88" s="3"/>
      <c r="D88" s="3"/>
      <c r="E88" s="3"/>
      <c r="F88" s="4"/>
      <c r="G88" s="4"/>
    </row>
    <row r="89" spans="1:7" ht="19.5" customHeight="1">
      <c r="A89" s="3"/>
      <c r="B89" s="3"/>
      <c r="C89" s="3"/>
      <c r="D89" s="3"/>
      <c r="E89" s="3"/>
      <c r="F89" s="4"/>
      <c r="G89" s="4"/>
    </row>
    <row r="90" spans="1:7" ht="19.5" customHeight="1">
      <c r="A90" s="3"/>
      <c r="B90" s="3"/>
      <c r="C90" s="3"/>
      <c r="D90" s="3"/>
      <c r="E90" s="3"/>
      <c r="F90" s="4"/>
      <c r="G90" s="4"/>
    </row>
    <row r="91" spans="1:7" ht="19.5" customHeight="1">
      <c r="A91" s="3"/>
      <c r="B91" s="3"/>
      <c r="C91" s="3"/>
      <c r="D91" s="3"/>
      <c r="E91" s="3"/>
      <c r="F91" s="4"/>
      <c r="G91" s="4"/>
    </row>
    <row r="92" spans="1:7" ht="19.5" customHeight="1">
      <c r="A92" s="3"/>
      <c r="B92" s="3"/>
      <c r="C92" s="3"/>
      <c r="D92" s="3"/>
      <c r="E92" s="3"/>
      <c r="F92" s="4"/>
      <c r="G92" s="4"/>
    </row>
    <row r="93" spans="1:7" ht="19.5" customHeight="1">
      <c r="A93" s="3"/>
      <c r="B93" s="3"/>
      <c r="C93" s="3"/>
      <c r="D93" s="3"/>
      <c r="E93" s="3"/>
      <c r="F93" s="4"/>
      <c r="G93" s="4"/>
    </row>
    <row r="94" spans="1:7" ht="19.5" customHeight="1">
      <c r="A94" s="3"/>
      <c r="B94" s="3"/>
      <c r="C94" s="3"/>
      <c r="D94" s="3"/>
      <c r="E94" s="3"/>
      <c r="F94" s="4"/>
      <c r="G94" s="4"/>
    </row>
    <row r="95" spans="1:7" ht="19.5" customHeight="1">
      <c r="A95" s="3"/>
      <c r="B95" s="3"/>
      <c r="C95" s="3"/>
      <c r="D95" s="3"/>
      <c r="E95" s="3"/>
      <c r="F95" s="4"/>
      <c r="G95" s="4"/>
    </row>
    <row r="96" spans="1:7" ht="19.5" customHeight="1">
      <c r="A96" s="3"/>
      <c r="B96" s="3"/>
      <c r="C96" s="3"/>
      <c r="D96" s="3"/>
      <c r="E96" s="3"/>
      <c r="F96" s="4"/>
      <c r="G96" s="4"/>
    </row>
    <row r="97" spans="1:7" ht="19.5" customHeight="1">
      <c r="A97" s="3"/>
      <c r="B97" s="3"/>
      <c r="C97" s="3"/>
      <c r="D97" s="3"/>
      <c r="E97" s="3"/>
      <c r="F97" s="4"/>
      <c r="G97" s="4"/>
    </row>
    <row r="98" spans="1:7" ht="19.5" customHeight="1">
      <c r="A98" s="3"/>
      <c r="B98" s="3"/>
      <c r="C98" s="3"/>
      <c r="D98" s="3"/>
      <c r="E98" s="3"/>
      <c r="F98" s="4"/>
      <c r="G98" s="4"/>
    </row>
    <row r="99" spans="1:7" ht="19.5" customHeight="1">
      <c r="A99" s="3"/>
      <c r="B99" s="3"/>
      <c r="C99" s="3"/>
      <c r="D99" s="3"/>
      <c r="E99" s="3"/>
      <c r="F99" s="4"/>
      <c r="G99" s="4"/>
    </row>
    <row r="100" spans="1:7" ht="19.5" customHeight="1">
      <c r="A100" s="3"/>
      <c r="B100" s="3"/>
      <c r="C100" s="3"/>
      <c r="D100" s="3"/>
      <c r="E100" s="3"/>
      <c r="F100" s="4"/>
      <c r="G100" s="4"/>
    </row>
    <row r="101" spans="1:7" ht="19.5" customHeight="1">
      <c r="A101" s="3"/>
      <c r="B101" s="3"/>
      <c r="C101" s="3"/>
      <c r="D101" s="3"/>
      <c r="E101" s="3"/>
      <c r="F101" s="4"/>
      <c r="G101" s="4"/>
    </row>
    <row r="102" spans="1:7" ht="19.5" customHeight="1">
      <c r="A102" s="3"/>
      <c r="B102" s="3"/>
      <c r="C102" s="3"/>
      <c r="D102" s="3"/>
      <c r="E102" s="3"/>
      <c r="F102" s="4"/>
      <c r="G102" s="4"/>
    </row>
    <row r="103" spans="1:7" ht="19.5" customHeight="1">
      <c r="A103" s="3"/>
      <c r="B103" s="3"/>
      <c r="C103" s="3"/>
      <c r="D103" s="3"/>
      <c r="E103" s="3"/>
      <c r="F103" s="4"/>
      <c r="G103" s="4"/>
    </row>
    <row r="104" spans="1:7" ht="19.5" customHeight="1">
      <c r="A104" s="3"/>
      <c r="B104" s="3"/>
      <c r="C104" s="3"/>
      <c r="D104" s="3"/>
      <c r="E104" s="3"/>
      <c r="F104" s="4"/>
      <c r="G104" s="4"/>
    </row>
    <row r="105" spans="1:7" ht="19.5" customHeight="1">
      <c r="A105" s="3"/>
      <c r="B105" s="3"/>
      <c r="C105" s="3"/>
      <c r="D105" s="3"/>
      <c r="E105" s="3"/>
      <c r="F105" s="4"/>
      <c r="G105" s="4"/>
    </row>
    <row r="106" spans="1:7" ht="19.5" customHeight="1">
      <c r="A106" s="3"/>
      <c r="B106" s="3"/>
      <c r="C106" s="3"/>
      <c r="D106" s="3"/>
      <c r="E106" s="3"/>
      <c r="F106" s="4"/>
      <c r="G106" s="4"/>
    </row>
    <row r="107" spans="1:7" ht="19.5" customHeight="1" hidden="1">
      <c r="A107" s="3"/>
      <c r="B107" s="3"/>
      <c r="C107" s="3"/>
      <c r="D107" s="3"/>
      <c r="E107" s="3"/>
      <c r="F107" s="4"/>
      <c r="G107" s="4"/>
    </row>
    <row r="108" spans="1:7" ht="10.5" customHeight="1" hidden="1">
      <c r="A108" s="3"/>
      <c r="B108" s="3"/>
      <c r="C108" s="3"/>
      <c r="D108" s="3"/>
      <c r="E108" s="3"/>
      <c r="F108" s="4"/>
      <c r="G108" s="4"/>
    </row>
    <row r="109" spans="1:7" ht="10.5" customHeight="1" hidden="1">
      <c r="A109" s="3"/>
      <c r="B109" s="3"/>
      <c r="C109" s="3"/>
      <c r="D109" s="3"/>
      <c r="E109" s="3"/>
      <c r="F109" s="4"/>
      <c r="G109" s="4"/>
    </row>
    <row r="110" spans="1:9" ht="10.5" customHeight="1" hidden="1">
      <c r="A110" s="77">
        <f>IF(B9&gt;=C110,F110,G110)</f>
        <v>1947.2495999999999</v>
      </c>
      <c r="B110" s="77">
        <f>IF(B9&gt;=C110,H110,I110)</f>
        <v>2271.7912</v>
      </c>
      <c r="C110" s="5">
        <v>16227.08</v>
      </c>
      <c r="D110" s="1">
        <v>0.12</v>
      </c>
      <c r="E110" s="1">
        <v>0.14</v>
      </c>
      <c r="F110" s="5">
        <f aca="true" t="shared" si="1" ref="F110:F117">C110*D110</f>
        <v>1947.2495999999999</v>
      </c>
      <c r="G110" s="5">
        <f>B9*D110</f>
        <v>90000</v>
      </c>
      <c r="H110" s="5">
        <f aca="true" t="shared" si="2" ref="H110:H117">C110*E110</f>
        <v>2271.7912</v>
      </c>
      <c r="I110" s="5">
        <f>B9*E110</f>
        <v>105000.00000000001</v>
      </c>
    </row>
    <row r="111" spans="1:9" ht="10.5" customHeight="1" hidden="1">
      <c r="A111" s="77">
        <f>IF(B9&gt;=C110+C111,F111,G111)</f>
        <v>811.3539999999999</v>
      </c>
      <c r="B111" s="77">
        <f>IF(B9&gt;=C110+C111,H111,I111)</f>
        <v>973.6247999999998</v>
      </c>
      <c r="C111" s="5">
        <f>24340.62-C110</f>
        <v>8113.539999999999</v>
      </c>
      <c r="D111" s="1">
        <v>0.1</v>
      </c>
      <c r="E111" s="1">
        <v>0.12</v>
      </c>
      <c r="F111" s="5">
        <f t="shared" si="1"/>
        <v>811.3539999999999</v>
      </c>
      <c r="G111" s="5">
        <f>(B9-C110)*D111</f>
        <v>73377.292</v>
      </c>
      <c r="H111" s="5">
        <f t="shared" si="2"/>
        <v>973.6247999999998</v>
      </c>
      <c r="I111" s="5">
        <f>(B9-C110)*E111</f>
        <v>88052.7504</v>
      </c>
    </row>
    <row r="112" spans="1:9" ht="10.5" customHeight="1" hidden="1">
      <c r="A112" s="77">
        <f>IF(B9&gt;=C110+C111+C112,F112,G112)</f>
        <v>1379.3001000000002</v>
      </c>
      <c r="B112" s="77">
        <f>IF(B9&gt;=C110+C111+C112,H112,I112)</f>
        <v>1541.5707</v>
      </c>
      <c r="C112" s="5">
        <f>40567.68-C111-C110</f>
        <v>16227.06</v>
      </c>
      <c r="D112" s="1">
        <v>0.085</v>
      </c>
      <c r="E112" s="1">
        <v>0.095</v>
      </c>
      <c r="F112" s="5">
        <f t="shared" si="1"/>
        <v>1379.3001000000002</v>
      </c>
      <c r="G112" s="5">
        <f>(B9-C110-C111)*D112</f>
        <v>61681.047300000006</v>
      </c>
      <c r="H112" s="5">
        <f t="shared" si="2"/>
        <v>1541.5707</v>
      </c>
      <c r="I112" s="5">
        <f>(B9-C110-C111)*E112</f>
        <v>68937.64110000001</v>
      </c>
    </row>
    <row r="113" spans="1:9" ht="10.5" customHeight="1" hidden="1">
      <c r="A113" s="77">
        <f>IF(B9&gt;=C110+C111+C112+C113,F113,G113)</f>
        <v>2839.7390000000005</v>
      </c>
      <c r="B113" s="77">
        <f>IF(B9&gt;=C110+C111+C112+C113,H113,I113)</f>
        <v>3245.4160000000006</v>
      </c>
      <c r="C113" s="5">
        <f>81135.38-C112-C111-C110</f>
        <v>40567.700000000004</v>
      </c>
      <c r="D113" s="1">
        <v>0.07</v>
      </c>
      <c r="E113" s="1">
        <v>0.08</v>
      </c>
      <c r="F113" s="5">
        <f t="shared" si="1"/>
        <v>2839.7390000000005</v>
      </c>
      <c r="G113" s="5">
        <f>(B9-C110-C111-C112)*D113</f>
        <v>49660.2624</v>
      </c>
      <c r="H113" s="5">
        <f t="shared" si="2"/>
        <v>3245.4160000000006</v>
      </c>
      <c r="I113" s="5">
        <f>(B9-C110-C111-C112)*E113</f>
        <v>56754.5856</v>
      </c>
    </row>
    <row r="114" spans="1:9" ht="10.5" customHeight="1" hidden="1">
      <c r="A114" s="77">
        <f>IF(B9&gt;=C110+C111+C112+C113+C114,F114,G114)</f>
        <v>17849.783050000002</v>
      </c>
      <c r="B114" s="77">
        <f>IF(B9&gt;=C110+C111+C112+C113+C114,H114,I114)</f>
        <v>21095.19815</v>
      </c>
      <c r="C114" s="5">
        <f>405676.89-C113-C112-C111-C110</f>
        <v>324541.51</v>
      </c>
      <c r="D114" s="1">
        <v>0.055</v>
      </c>
      <c r="E114" s="1">
        <v>0.065</v>
      </c>
      <c r="F114" s="5">
        <f t="shared" si="1"/>
        <v>17849.783050000002</v>
      </c>
      <c r="G114" s="5">
        <f>(B9-C110-C111-C112-C113)*D114</f>
        <v>36787.5541</v>
      </c>
      <c r="H114" s="5">
        <f t="shared" si="2"/>
        <v>21095.19815</v>
      </c>
      <c r="I114" s="5">
        <f>(B9-C110-C111-C112-C113)*E114</f>
        <v>43476.200300000004</v>
      </c>
    </row>
    <row r="115" spans="1:9" ht="10.5" customHeight="1" hidden="1">
      <c r="A115" s="77">
        <f>IF(B9&gt;=C110+C111+C112+C113+C114+C115,F115,G115)</f>
        <v>13772.9244</v>
      </c>
      <c r="B115" s="77">
        <f>IF(B9&gt;=C110+C111+C112+C113+C114+C115,H115,I115)</f>
        <v>17216.1555</v>
      </c>
      <c r="C115" s="5">
        <f>811353.79-C114-C113-C112-C111-C110</f>
        <v>405676.9</v>
      </c>
      <c r="D115" s="1">
        <v>0.04</v>
      </c>
      <c r="E115" s="1">
        <v>0.05</v>
      </c>
      <c r="F115" s="5">
        <f t="shared" si="1"/>
        <v>16227.076000000001</v>
      </c>
      <c r="G115" s="5">
        <f>(B9-C110-C111-C112-C113-C114)*D115</f>
        <v>13772.9244</v>
      </c>
      <c r="H115" s="5">
        <f t="shared" si="2"/>
        <v>20283.845</v>
      </c>
      <c r="I115" s="5">
        <f>(B9-C110-C111-C112-C113-C114)*E115</f>
        <v>17216.1555</v>
      </c>
    </row>
    <row r="116" spans="1:9" ht="10.5" customHeight="1" hidden="1">
      <c r="A116" s="77">
        <f>IF(B9&gt;=C110+C111+C112+C113+C114+C115+C116,F116,G116)</f>
        <v>-552.1841100000003</v>
      </c>
      <c r="B116" s="77">
        <f>IF(B9&gt;=C110+C111+C112+C113+C114+C115+C116,H116,I116)</f>
        <v>-1104.3682200000005</v>
      </c>
      <c r="C116" s="5">
        <f>2434061.37-C115-C114-C113-C112-C110-C111</f>
        <v>1622707.58</v>
      </c>
      <c r="D116" s="1">
        <v>0.009</v>
      </c>
      <c r="E116" s="1">
        <v>0.018</v>
      </c>
      <c r="F116" s="5">
        <f t="shared" si="1"/>
        <v>14604.36822</v>
      </c>
      <c r="G116" s="5">
        <f>(B9-C110-C111-C112-C113-C114-C115)*D116</f>
        <v>-552.1841100000003</v>
      </c>
      <c r="H116" s="5">
        <f t="shared" si="2"/>
        <v>29208.73644</v>
      </c>
      <c r="I116" s="5">
        <f>(B9-C110-C111-C112-C113-C114-C115)*E116</f>
        <v>-1104.3682200000005</v>
      </c>
    </row>
    <row r="117" spans="1:9" ht="10.5" customHeight="1" hidden="1">
      <c r="A117" s="77">
        <f>IF(B9&gt;=C110+C111+C112+C113+C114+C115+C116+C117,F117,G117)</f>
        <v>-7578.276165</v>
      </c>
      <c r="B117" s="77">
        <f>IF(B9&gt;=C110+C111+C112+C113+C114+C115+C116+C117,H117,I117)</f>
        <v>-15156.55233</v>
      </c>
      <c r="C117" s="5">
        <f>B9-(C110+C111+C112+C113+C115+C114+C116)</f>
        <v>-1684061.37</v>
      </c>
      <c r="D117" s="1">
        <v>0.0045</v>
      </c>
      <c r="E117" s="1">
        <v>0.009</v>
      </c>
      <c r="F117" s="5">
        <f t="shared" si="1"/>
        <v>-7578.276165</v>
      </c>
      <c r="G117" s="5">
        <f>(B9-C110-C111-C112-C113-C114-C115-C116)*D117</f>
        <v>-7578.276165</v>
      </c>
      <c r="H117" s="5">
        <f t="shared" si="2"/>
        <v>-15156.55233</v>
      </c>
      <c r="I117" s="5">
        <f>(B9-C110-C111-C112-C113-C114-C115-C116)*E117</f>
        <v>-15156.55233</v>
      </c>
    </row>
    <row r="118" spans="1:9" ht="10.5" customHeight="1" hidden="1">
      <c r="A118" s="77"/>
      <c r="B118" s="77"/>
      <c r="C118" s="5"/>
      <c r="D118" s="1"/>
      <c r="E118" s="1"/>
      <c r="F118" s="5"/>
      <c r="G118" s="5"/>
      <c r="H118" s="5"/>
      <c r="I118" s="5"/>
    </row>
    <row r="119" spans="1:9" ht="10.5" customHeight="1" hidden="1">
      <c r="A119" s="12"/>
      <c r="B119" s="12"/>
      <c r="C119" s="5"/>
      <c r="D119" s="1"/>
      <c r="E119" s="1"/>
      <c r="F119" s="5"/>
      <c r="G119" s="5"/>
      <c r="H119" s="5"/>
      <c r="I119" s="5"/>
    </row>
    <row r="120" spans="1:9" ht="10.5" customHeight="1" hidden="1">
      <c r="A120" s="12"/>
      <c r="B120" s="12"/>
      <c r="C120" s="5"/>
      <c r="D120" s="1"/>
      <c r="E120" s="1"/>
      <c r="F120" s="5"/>
      <c r="G120" s="5"/>
      <c r="H120" s="5"/>
      <c r="I120" s="5"/>
    </row>
    <row r="121" spans="1:9" ht="10.5" customHeight="1" hidden="1">
      <c r="A121" s="12"/>
      <c r="B121" s="12"/>
      <c r="C121" s="5"/>
      <c r="D121" s="1"/>
      <c r="E121" s="1"/>
      <c r="F121" s="5"/>
      <c r="G121" s="5"/>
      <c r="H121" s="5"/>
      <c r="I121" s="5"/>
    </row>
    <row r="122" spans="1:9" ht="10.5" customHeight="1" hidden="1">
      <c r="A122" s="8">
        <f>IF(B21&gt;=C122,F122,G122)</f>
        <v>154.14962200000002</v>
      </c>
      <c r="B122" s="8">
        <f>IF(B21&gt;=C122,H122,I122)</f>
        <v>762.6349720000001</v>
      </c>
      <c r="C122" s="5">
        <v>81131.38</v>
      </c>
      <c r="D122" s="1">
        <v>0.0019</v>
      </c>
      <c r="E122" s="1">
        <v>0.0094</v>
      </c>
      <c r="F122" s="5">
        <f>C122*D122</f>
        <v>154.14962200000002</v>
      </c>
      <c r="G122" s="5">
        <f>B21*D122</f>
        <v>4750</v>
      </c>
      <c r="H122" s="5">
        <f>C122*E122</f>
        <v>762.6349720000001</v>
      </c>
      <c r="I122" s="5">
        <f>B21*E122</f>
        <v>23500</v>
      </c>
    </row>
    <row r="123" spans="1:9" ht="10.5" customHeight="1" hidden="1">
      <c r="A123" s="8">
        <f>IF(B21&gt;=C122+C123,F123,G123)</f>
        <v>1451.321172</v>
      </c>
      <c r="B123" s="8">
        <f>IF(B21&gt;=C122+C123,H123,I123)</f>
        <v>11126.795652</v>
      </c>
      <c r="C123" s="5">
        <f>B21-81131.38</f>
        <v>2418868.62</v>
      </c>
      <c r="D123" s="1">
        <v>0.0006</v>
      </c>
      <c r="E123" s="1">
        <v>0.0046</v>
      </c>
      <c r="F123" s="5">
        <f>C123*D123</f>
        <v>1451.321172</v>
      </c>
      <c r="G123" s="5">
        <f>(B21-C122)*D123</f>
        <v>1451.321172</v>
      </c>
      <c r="H123" s="5">
        <f>C123*E123</f>
        <v>11126.795652</v>
      </c>
      <c r="I123" s="5">
        <f>(B21-C122)*E122</f>
        <v>22737.365028</v>
      </c>
    </row>
    <row r="124" ht="10.5" customHeight="1" hidden="1"/>
    <row r="125" ht="10.5" customHeight="1" hidden="1"/>
    <row r="126" ht="10.5" customHeight="1" hidden="1"/>
    <row r="127" ht="10.5" customHeight="1" hidden="1"/>
    <row r="128" ht="10.5" customHeight="1"/>
    <row r="129" ht="10.5" customHeight="1"/>
  </sheetData>
  <sheetProtection password="C4FE" sheet="1" objects="1"/>
  <mergeCells count="6">
    <mergeCell ref="A46:G46"/>
    <mergeCell ref="A1:G1"/>
    <mergeCell ref="A3:G3"/>
    <mergeCell ref="A4:G4"/>
    <mergeCell ref="A2:G2"/>
    <mergeCell ref="A6:G6"/>
  </mergeCells>
  <printOptions/>
  <pageMargins left="0.75" right="0.75" top="1" bottom="1" header="0.5" footer="0.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LUMIA</dc:creator>
  <cp:keywords/>
  <dc:description/>
  <cp:lastModifiedBy>Piergiorgio Ripa</cp:lastModifiedBy>
  <cp:lastPrinted>2016-02-21T14:39:00Z</cp:lastPrinted>
  <dcterms:created xsi:type="dcterms:W3CDTF">1998-03-26T17:56:10Z</dcterms:created>
  <dcterms:modified xsi:type="dcterms:W3CDTF">2016-02-21T14:40:18Z</dcterms:modified>
  <cp:category/>
  <cp:version/>
  <cp:contentType/>
  <cp:contentStatus/>
</cp:coreProperties>
</file>